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C:\Users\me87\Downloads\"/>
    </mc:Choice>
  </mc:AlternateContent>
  <bookViews>
    <workbookView xWindow="0" yWindow="0" windowWidth="28800" windowHeight="15405"/>
  </bookViews>
  <sheets>
    <sheet name="Informations" sheetId="6" r:id="rId1"/>
    <sheet name="Outil de calcul" sheetId="1" r:id="rId2"/>
    <sheet name="Rendement-Ausbeute" sheetId="2" r:id="rId3"/>
    <sheet name="Feuil3" sheetId="3" state="hidden" r:id="rId4"/>
  </sheets>
  <definedNames>
    <definedName name="_xlnm.Print_Area" localSheetId="1">'Outil de calcul'!$A$1:$I$63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3" l="1"/>
  <c r="D44" i="1"/>
  <c r="D43" i="1"/>
  <c r="C22" i="2" l="1"/>
  <c r="C4" i="2" l="1"/>
  <c r="C15" i="3"/>
  <c r="A14" i="1" s="1"/>
  <c r="B35" i="1"/>
  <c r="B40" i="1"/>
  <c r="D50" i="1" l="1"/>
  <c r="B22" i="1" l="1"/>
  <c r="B36" i="1" s="1"/>
  <c r="B28" i="1" l="1"/>
  <c r="E22" i="1"/>
  <c r="E28" i="1" l="1"/>
  <c r="C2" i="2"/>
  <c r="C3" i="2"/>
  <c r="C5" i="2"/>
  <c r="C6" i="2"/>
  <c r="C7" i="2"/>
  <c r="C8" i="2"/>
  <c r="C9" i="2"/>
  <c r="C10" i="2"/>
  <c r="C11" i="2"/>
  <c r="C12" i="2"/>
  <c r="C13" i="2"/>
  <c r="B5" i="1" s="1"/>
  <c r="C14" i="2"/>
  <c r="C15" i="2"/>
  <c r="C16" i="2"/>
  <c r="C17" i="2"/>
  <c r="C18" i="2"/>
  <c r="C19" i="2"/>
  <c r="C20" i="2"/>
  <c r="C21" i="2"/>
  <c r="C1" i="2"/>
  <c r="J17" i="3"/>
  <c r="D3" i="1" s="1"/>
  <c r="A61" i="1"/>
  <c r="D27" i="1" l="1"/>
  <c r="B43" i="1"/>
  <c r="B39" i="1" s="1"/>
  <c r="D55" i="1" l="1"/>
  <c r="D56" i="1" l="1"/>
  <c r="D19" i="1" l="1"/>
  <c r="B23" i="1" l="1"/>
  <c r="B32" i="1" s="1"/>
  <c r="B29" i="1"/>
  <c r="D39" i="1"/>
  <c r="D51" i="1"/>
  <c r="B19" i="1"/>
  <c r="F19" i="1" s="1"/>
  <c r="B27" i="1"/>
  <c r="B31" i="1"/>
  <c r="E31" i="1" s="1"/>
  <c r="D36" i="1"/>
  <c r="E35" i="1"/>
  <c r="D32" i="1"/>
  <c r="E60" i="1"/>
  <c r="B49" i="1"/>
  <c r="E27" i="1" l="1"/>
  <c r="B30" i="1"/>
  <c r="E30" i="1" s="1"/>
  <c r="B44" i="1"/>
  <c r="E44" i="1" s="1"/>
  <c r="B47" i="1"/>
  <c r="B56" i="1" s="1"/>
  <c r="E56" i="1" s="1"/>
  <c r="B48" i="1"/>
  <c r="E48" i="1" s="1"/>
  <c r="B24" i="1"/>
  <c r="E24" i="1" s="1"/>
  <c r="E32" i="1"/>
  <c r="B51" i="1"/>
  <c r="B50" i="1"/>
  <c r="E50" i="1" s="1"/>
  <c r="E23" i="1"/>
  <c r="E49" i="1"/>
  <c r="E36" i="1"/>
  <c r="F34" i="1" s="1"/>
  <c r="E29" i="1"/>
  <c r="F21" i="1" l="1"/>
  <c r="E47" i="1"/>
  <c r="F26" i="1"/>
  <c r="E43" i="1"/>
  <c r="F42" i="1" s="1"/>
  <c r="G42" i="1" s="1"/>
  <c r="E59" i="1"/>
  <c r="H19" i="1" s="1"/>
  <c r="B55" i="1"/>
  <c r="E55" i="1" s="1"/>
  <c r="B54" i="1"/>
  <c r="E54" i="1" s="1"/>
  <c r="E51" i="1"/>
  <c r="B60" i="1"/>
  <c r="G21" i="1"/>
  <c r="G19" i="1"/>
  <c r="G34" i="1"/>
  <c r="H26" i="1" l="1"/>
  <c r="H34" i="1"/>
  <c r="H21" i="1"/>
  <c r="G26" i="1"/>
  <c r="F46" i="1"/>
  <c r="H46" i="1" s="1"/>
  <c r="E39" i="1"/>
  <c r="E40" i="1" s="1"/>
  <c r="F38" i="1" s="1"/>
  <c r="G38" i="1" s="1"/>
  <c r="F53" i="1"/>
  <c r="H42" i="1"/>
  <c r="G53" i="1" l="1"/>
  <c r="H53" i="1"/>
  <c r="F59" i="1"/>
  <c r="H60" i="1" s="1"/>
  <c r="G46" i="1"/>
  <c r="H38" i="1"/>
  <c r="G59" i="1" l="1"/>
  <c r="H59" i="1"/>
  <c r="I53" i="1" l="1"/>
  <c r="I21" i="1"/>
  <c r="I34" i="1"/>
  <c r="I42" i="1"/>
  <c r="I46" i="1"/>
  <c r="I26" i="1"/>
  <c r="I19" i="1"/>
  <c r="I38" i="1"/>
  <c r="H17" i="3"/>
  <c r="B3" i="1" s="1"/>
  <c r="C51" i="3"/>
  <c r="A51" i="1" s="1"/>
  <c r="C23" i="3"/>
  <c r="A23" i="1" s="1"/>
  <c r="C53" i="3"/>
  <c r="A53" i="1" s="1"/>
  <c r="C42" i="3"/>
  <c r="A42" i="1" s="1"/>
  <c r="C21" i="3"/>
  <c r="A21" i="1" s="1"/>
  <c r="C60" i="3"/>
  <c r="A60" i="1" s="1"/>
  <c r="C54" i="3"/>
  <c r="A54" i="1" s="1"/>
  <c r="C6" i="3"/>
  <c r="A5" i="1" s="1"/>
  <c r="C22" i="3"/>
  <c r="A22" i="1" s="1"/>
  <c r="C36" i="3"/>
  <c r="A36" i="1" s="1"/>
  <c r="C46" i="3"/>
  <c r="A46" i="1" s="1"/>
  <c r="F8" i="3"/>
  <c r="D18" i="1" s="1"/>
  <c r="C31" i="3"/>
  <c r="A31" i="1" s="1"/>
  <c r="C5" i="3"/>
  <c r="A4" i="1" s="1"/>
  <c r="C38" i="3"/>
  <c r="A38" i="1" s="1"/>
  <c r="C27" i="3"/>
  <c r="A27" i="1" s="1"/>
  <c r="C47" i="3"/>
  <c r="A47" i="1" s="1"/>
  <c r="K8" i="3"/>
  <c r="I18" i="1" s="1"/>
  <c r="C50" i="3"/>
  <c r="A50" i="1" s="1"/>
  <c r="C3" i="3"/>
  <c r="A2" i="1" s="1"/>
  <c r="A2" i="6" s="1"/>
  <c r="C16" i="3"/>
  <c r="A16" i="1" s="1"/>
  <c r="C10" i="3"/>
  <c r="A9" i="1" s="1"/>
  <c r="C40" i="3"/>
  <c r="A40" i="1" s="1"/>
  <c r="C9" i="3"/>
  <c r="A8" i="1" s="1"/>
  <c r="C26" i="3"/>
  <c r="A26" i="1" s="1"/>
  <c r="C28" i="3"/>
  <c r="A28" i="1" s="1"/>
  <c r="C48" i="3"/>
  <c r="A48" i="1" s="1"/>
  <c r="C13" i="3"/>
  <c r="A12" i="1" s="1"/>
  <c r="C39" i="3"/>
  <c r="A39" i="1" s="1"/>
  <c r="C55" i="3"/>
  <c r="A55" i="1" s="1"/>
  <c r="C11" i="3"/>
  <c r="A10" i="1" s="1"/>
  <c r="C59" i="3"/>
  <c r="A59" i="1" s="1"/>
  <c r="H8" i="3"/>
  <c r="F18" i="1" s="1"/>
  <c r="C44" i="3"/>
  <c r="A44" i="1" s="1"/>
  <c r="C14" i="3"/>
  <c r="A13" i="1" s="1"/>
  <c r="J8" i="3"/>
  <c r="H18" i="1" s="1"/>
  <c r="C29" i="3"/>
  <c r="A29" i="1" s="1"/>
  <c r="C35" i="3"/>
  <c r="A35" i="1" s="1"/>
  <c r="C56" i="3"/>
  <c r="A56" i="1" s="1"/>
  <c r="E8" i="3"/>
  <c r="C18" i="1" s="1"/>
  <c r="C32" i="3"/>
  <c r="A32" i="1" s="1"/>
  <c r="C12" i="3"/>
  <c r="A11" i="1" s="1"/>
  <c r="C24" i="3"/>
  <c r="A24" i="1" s="1"/>
  <c r="A1" i="1"/>
  <c r="G8" i="3"/>
  <c r="E18" i="1" s="1"/>
  <c r="C30" i="3"/>
  <c r="A30" i="1" s="1"/>
  <c r="C19" i="3"/>
  <c r="A19" i="1" s="1"/>
  <c r="C49" i="3"/>
  <c r="A49" i="1" s="1"/>
  <c r="C7" i="3"/>
  <c r="A6" i="1" s="1"/>
  <c r="C43" i="3"/>
  <c r="A43" i="1" s="1"/>
  <c r="D8" i="3"/>
  <c r="B18" i="1" s="1"/>
  <c r="I8" i="3"/>
  <c r="G18" i="1" s="1"/>
  <c r="C8" i="3"/>
  <c r="A7" i="1" s="1"/>
  <c r="C34" i="3"/>
  <c r="A34" i="1" s="1"/>
  <c r="A1" i="6" l="1"/>
  <c r="I59" i="1"/>
</calcChain>
</file>

<file path=xl/comments1.xml><?xml version="1.0" encoding="utf-8"?>
<comments xmlns="http://schemas.openxmlformats.org/spreadsheetml/2006/main">
  <authors>
    <author>Egger Victor</author>
  </authors>
  <commentList>
    <comment ref="D50" authorId="0" shapeId="0">
      <text>
        <r>
          <rPr>
            <b/>
            <sz val="8"/>
            <color indexed="81"/>
            <rFont val="Tahoma"/>
            <family val="2"/>
          </rPr>
          <t>Egger Victor:</t>
        </r>
        <r>
          <rPr>
            <sz val="8"/>
            <color indexed="81"/>
            <rFont val="Tahoma"/>
            <family val="2"/>
          </rPr>
          <t xml:space="preserve">
Prix de la machine / durée d'amortissement/ utilisatione heures par année</t>
        </r>
      </text>
    </comment>
  </commentList>
</comments>
</file>

<file path=xl/sharedStrings.xml><?xml version="1.0" encoding="utf-8"?>
<sst xmlns="http://schemas.openxmlformats.org/spreadsheetml/2006/main" count="207" uniqueCount="179">
  <si>
    <t>quantité</t>
  </si>
  <si>
    <t>montant</t>
  </si>
  <si>
    <t>Total</t>
  </si>
  <si>
    <t>par 100 kg</t>
  </si>
  <si>
    <t>%</t>
  </si>
  <si>
    <t>TVA</t>
  </si>
  <si>
    <t>TOTAL</t>
  </si>
  <si>
    <t>litre</t>
  </si>
  <si>
    <t>Pomme</t>
  </si>
  <si>
    <t>Poire</t>
  </si>
  <si>
    <t>Poire Williams</t>
  </si>
  <si>
    <t>Jus, Cidre (pomme)</t>
  </si>
  <si>
    <t>Marc de fruits à pépin</t>
  </si>
  <si>
    <t>Qantitée</t>
  </si>
  <si>
    <t>Rendement théorique à 100%vol</t>
  </si>
  <si>
    <t>Récipients de fermentation</t>
  </si>
  <si>
    <t>Lies, bourbes et déchets  de cidre</t>
  </si>
  <si>
    <t>Raisin</t>
  </si>
  <si>
    <t>Vin</t>
  </si>
  <si>
    <t>Marc de raisin</t>
  </si>
  <si>
    <t>Reste de vin</t>
  </si>
  <si>
    <t>Cerises</t>
  </si>
  <si>
    <t>Pruneaux / prunes</t>
  </si>
  <si>
    <t>Reine Claude</t>
  </si>
  <si>
    <t>Mirabelle</t>
  </si>
  <si>
    <t>Abricots</t>
  </si>
  <si>
    <t>Pêches</t>
  </si>
  <si>
    <t>Framboise</t>
  </si>
  <si>
    <t>Mûres</t>
  </si>
  <si>
    <t>unitée</t>
  </si>
  <si>
    <t>kg</t>
  </si>
  <si>
    <t>pce</t>
  </si>
  <si>
    <t>heures</t>
  </si>
  <si>
    <t>km</t>
  </si>
  <si>
    <t>litres</t>
  </si>
  <si>
    <t>% volume du distillat fini</t>
  </si>
  <si>
    <t>Prix CHF de la matière première au kg</t>
  </si>
  <si>
    <t>prix unité</t>
  </si>
  <si>
    <t>m3</t>
  </si>
  <si>
    <t>Bondes de fermentation (amoritssement 15 ans)</t>
  </si>
  <si>
    <t>Coûts du bâtiment</t>
  </si>
  <si>
    <t>ml</t>
  </si>
  <si>
    <t>dl</t>
  </si>
  <si>
    <t>g</t>
  </si>
  <si>
    <t>forfait</t>
  </si>
  <si>
    <t>pces</t>
  </si>
  <si>
    <t>Type de Bouteilles</t>
  </si>
  <si>
    <t>Tonneau 120 l (amoritssement 15 ans)</t>
  </si>
  <si>
    <t>Prétention de salaire</t>
  </si>
  <si>
    <t>CHF</t>
  </si>
  <si>
    <t>Litres</t>
  </si>
  <si>
    <t>Moût de racines de gentiane</t>
  </si>
  <si>
    <t>Distillation à façon</t>
  </si>
  <si>
    <t>Tarif de la disitillerie</t>
  </si>
  <si>
    <t>Trajet à la distillerie</t>
  </si>
  <si>
    <t>CHF/litre</t>
  </si>
  <si>
    <t>Matière première</t>
  </si>
  <si>
    <t>Mise en tonneau</t>
  </si>
  <si>
    <t>Tarif de distillation</t>
  </si>
  <si>
    <t>Impôts</t>
  </si>
  <si>
    <t>Mise en bouteille</t>
  </si>
  <si>
    <t>Variables =</t>
  </si>
  <si>
    <t>1 lt à %vol</t>
  </si>
  <si>
    <t>Prunelle</t>
  </si>
  <si>
    <t>Coing</t>
  </si>
  <si>
    <t>Transport</t>
  </si>
  <si>
    <t xml:space="preserve">Par bouteille de </t>
  </si>
  <si>
    <t>Broyage</t>
  </si>
  <si>
    <t>Enzymes</t>
  </si>
  <si>
    <t>Acides</t>
  </si>
  <si>
    <t>Levures</t>
  </si>
  <si>
    <t>Partie analytique</t>
  </si>
  <si>
    <t>Main d'œuvre</t>
  </si>
  <si>
    <t>Frais de transport</t>
  </si>
  <si>
    <t>Rabais fiscal de 30% PP max 30l a.p.</t>
  </si>
  <si>
    <t>Bouchons à tête et capsules thermo</t>
  </si>
  <si>
    <t>Etiquettes</t>
  </si>
  <si>
    <t>Remplisseuse avec filtre à bougie (amort. 5 ans / prod annuelle200l/an)</t>
  </si>
  <si>
    <t>Main d'œuvre (25 btes / h)</t>
  </si>
  <si>
    <t>Heures :</t>
  </si>
  <si>
    <t>Main d'œuvre mise en tonneau et suivi de fermentation (1.2h /100kg)</t>
  </si>
  <si>
    <t>Alcool pur (100%vol)</t>
  </si>
  <si>
    <r>
      <rPr>
        <b/>
        <sz val="10"/>
        <rFont val="Arial"/>
        <family val="2"/>
      </rPr>
      <t>Vente</t>
    </r>
    <r>
      <rPr>
        <sz val="10"/>
        <rFont val="Arial"/>
        <family val="2"/>
      </rPr>
      <t xml:space="preserve"> </t>
    </r>
  </si>
  <si>
    <t>Temps pour la vente</t>
  </si>
  <si>
    <t>Infrastructure de vente</t>
  </si>
  <si>
    <t>min</t>
  </si>
  <si>
    <t>Prix matériel =</t>
  </si>
  <si>
    <t>Emballage (sachet, carton, caisse en bois)</t>
  </si>
  <si>
    <t xml:space="preserve">Bouteilles </t>
  </si>
  <si>
    <t>oui</t>
  </si>
  <si>
    <t>non</t>
  </si>
  <si>
    <t>Kostenberechnung für Destillate</t>
  </si>
  <si>
    <t>aus der Sicht als "Kleinproduzent" als Kunde beim Lohnbrenner</t>
  </si>
  <si>
    <t>Obstart</t>
  </si>
  <si>
    <t>theoretische Ausbeute</t>
  </si>
  <si>
    <t>Menge</t>
  </si>
  <si>
    <t>Preis für Verarbeitungsrohstoffe/kg</t>
  </si>
  <si>
    <t>%vol trinkfertiges Destillat</t>
  </si>
  <si>
    <t>Flaschen-Grösse</t>
  </si>
  <si>
    <t>Lohnansatz/Akh</t>
  </si>
  <si>
    <t>Brenn-Lohn</t>
  </si>
  <si>
    <t>Wegstrecke Betrieb-Brennerei</t>
  </si>
  <si>
    <t>geschätzter Zeitaufwand für Verkauf 1 Flasche</t>
  </si>
  <si>
    <t>Verarbeitungs-Rohstoff</t>
  </si>
  <si>
    <t>Gärbehälter</t>
  </si>
  <si>
    <t>Kunststoff-Fass 120l (Abschreibung auf 15 Jahre)</t>
  </si>
  <si>
    <t>Gärfilter (Abschreibung auf 15 Jahre)</t>
  </si>
  <si>
    <t>Gebäudekosten für Einlagerung</t>
  </si>
  <si>
    <t>Einmaischen</t>
  </si>
  <si>
    <t>Häckseln</t>
  </si>
  <si>
    <t>Enzyme</t>
  </si>
  <si>
    <t>Milch-/Phosphorsäure</t>
  </si>
  <si>
    <t>Hefen</t>
  </si>
  <si>
    <t>Analytik</t>
  </si>
  <si>
    <t>Arbeitsleistung Einmaischen, Gärführung (1.2h /100kg)</t>
  </si>
  <si>
    <t>km-Entschädigung</t>
  </si>
  <si>
    <t>Arbeitsleistung</t>
  </si>
  <si>
    <t>Brennlohn</t>
  </si>
  <si>
    <t>für Lohn-Destillation</t>
  </si>
  <si>
    <t>MwSt</t>
  </si>
  <si>
    <t>Steuern</t>
  </si>
  <si>
    <t>Rein-Alkohol RA 100%vol</t>
  </si>
  <si>
    <t>Steuer-Rabatt für Kleinprodzenten 30% auf max. 30l RA</t>
  </si>
  <si>
    <t>Abfüllung</t>
  </si>
  <si>
    <t>Flasche</t>
  </si>
  <si>
    <t>Stopfen mit Schrumpfkapsel</t>
  </si>
  <si>
    <t>Etiketten</t>
  </si>
  <si>
    <t>Abfüllgerät mit Kerzenfilter (Abschreibung 5 Jahre / Jahresproduktion 200l/Jahr)</t>
  </si>
  <si>
    <t>Arbeitsleitung (25 Flaschen/h)</t>
  </si>
  <si>
    <t>Verkauf</t>
  </si>
  <si>
    <t>Verkaufs-Infrastruktur</t>
  </si>
  <si>
    <t>Arbeitsleistung für Verkauf</t>
  </si>
  <si>
    <t>Stunden</t>
  </si>
  <si>
    <t>Einheit</t>
  </si>
  <si>
    <t>Preis/Einheit</t>
  </si>
  <si>
    <t>Betrag</t>
  </si>
  <si>
    <t>pro 100kg</t>
  </si>
  <si>
    <t>Fachstelle für Obst und Beeren</t>
  </si>
  <si>
    <t>Variable Grössen</t>
  </si>
  <si>
    <t>Material Preise</t>
  </si>
  <si>
    <t>Apfel</t>
  </si>
  <si>
    <t>Birne</t>
  </si>
  <si>
    <t>Williams</t>
  </si>
  <si>
    <t>Obstweinbrand</t>
  </si>
  <si>
    <t>Kernobst-Trester</t>
  </si>
  <si>
    <t>Drusen, Lie</t>
  </si>
  <si>
    <t>Traubenbrand</t>
  </si>
  <si>
    <t>Weinbrand</t>
  </si>
  <si>
    <t>Traubentrester</t>
  </si>
  <si>
    <t>Weinreste</t>
  </si>
  <si>
    <t>Kirsche</t>
  </si>
  <si>
    <t>Pflaume/Zwetschge</t>
  </si>
  <si>
    <t>Aprikosen</t>
  </si>
  <si>
    <t>Pfirsich</t>
  </si>
  <si>
    <t>Himbeere</t>
  </si>
  <si>
    <t>Brombeeren</t>
  </si>
  <si>
    <t>Enzian</t>
  </si>
  <si>
    <t>Schlehe</t>
  </si>
  <si>
    <t>Quitte</t>
  </si>
  <si>
    <t>Calculs des coûts pour vente des distillées</t>
  </si>
  <si>
    <t>Point de vue "petit producteur = client à la distillerie à façon"</t>
  </si>
  <si>
    <t>Type de fruit (utilisez le menu déroulant)</t>
  </si>
  <si>
    <t>MWST</t>
  </si>
  <si>
    <t>Verpackung (Beutel, Karton, Holzkisten)</t>
  </si>
  <si>
    <t>Andere Ausbeute vgl Feuil2</t>
  </si>
  <si>
    <t>Autre rendement cf. Feuil2</t>
  </si>
  <si>
    <t>Attention rendement / Achtung Ausbeutung à/auf 100% vol</t>
  </si>
  <si>
    <t>Victor Egger
FRI Courtemelon
victor.egger@frij.ch
Max Kopp
INFORAMA Oeschberg
max.kopp@vol.be.ch</t>
  </si>
  <si>
    <t>Français                                         Deutsch</t>
  </si>
  <si>
    <t>Par litre</t>
  </si>
  <si>
    <t>=</t>
  </si>
  <si>
    <t xml:space="preserve">Temps de vente estimé par bouteille </t>
  </si>
  <si>
    <t xml:space="preserve"> Contacte : Pour tous les complément remarques ou questions concernant permettant d'améliorer cet outil vous pouvez contacter :</t>
  </si>
  <si>
    <t>But : Proposer un outil simple destiné aux petit producteur afin d'évaluer la valeur des produits distillées par leur soin.</t>
  </si>
  <si>
    <t>Fonctionnement : 
- Langue : vous pouvez opter, en cochant, entre l'allemand et le français. Suite à votre choix, il est nécessaire de rafraichir la feuille de calcule en introduisant une matière dans "type de fruit" dans le menu déroulant idoine. 
Seul les cases colorées sont modifiables :
- En jaune sont à introduire les principales variables  tel que le type de fruit, la quantité de matière première, la prétention de salaire, la taxe sur l'aclool, etc.
Les rendements préinstallés sont issus des rendement théoriques de l'ouvrage de Tanner/Brunner "La Distillation moderne des fruits".  Pour le rendement réelle vous pouvez utiliser la dernière entrée du menu déroulant "Autre rendement" et passer à l'onglet "Rendement-Ausbeute". Là vous pouvez inscrire le rendement réelle, attention le rendement est calculé selon rendement à  100% vol. 
- En orange : sont à introduire les coûts des matériaux utilisés  (tonneaux, bondes, levure, prix des bouteilles, etc.) pour cela vous devez rapporter le coût des matériaux ou adjuvants à l'unité indiquée (kilogramme, litre, pièces...)
-Le prix de la matière première :  Nous nous sommes basés sur un prix au kg de la matière première, ce coût doit être calculé de manière indépendante.</t>
  </si>
  <si>
    <t xml:space="preserve">Taxe </t>
  </si>
  <si>
    <t xml:space="preserve">Dans le cadre des cours de distillation par la Fondation Rurale Interjurassienne, notamment lors du brevet agricole BF23 Distillation, nous avons remarqué qu'il manquait un outil simple permettant d'évaluer le coût minimal auquel une eau-de-vie devrait se vendre. 
Les produits ont issus de la distillation traditionnelle ont de la valeur. De la plantation des fruitiers, en passant par l’entretien des arbres, la récolte, le mie en tonneau et le suivi de fermentation la distillation, la mise en bouteille à la vente il y a du travail. Celui-ci doit être rémunéré. Nous partons de l’idée qu’afin de pérenniser la distillation traditionnelle, il est important que le producteur puisse faire valoir un revenu digne. 
Cette feuille de calcul s'adresse donc aux petits producteurs qui distillent leur moût chez un distillateur à façon.
Nous avons intégré toutes les étapes d'une mise en tonneau selon la prescription d'Agroscope.
La qualité des produits est extrêmement importante. Les produits issus de la distillation doivent refléter la quintessence de notre terroir. Pour cela la qualité des fruits, les pratiques de mise en tonneau, la conduite de fermentation, la dilatation,  la maturation doivent être maitrisé. Pour jauger vos produits leur mise en dégustation lors de concours peut s’avérer utile. </t>
  </si>
  <si>
    <t>Taxe sur l'acool</t>
  </si>
  <si>
    <t>EgVi/FRI/23.11.21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</si>
</sst>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quot;fr.&quot;\ * #,##0.00_ ;_ &quot;fr.&quot;\ * \-#,##0.00_ ;_ &quot;fr.&quot;\ * &quot;-&quot;??_ ;_ @_ "/>
    <numFmt numFmtId="165" formatCode="_ &quot;SFr.&quot;\ * #,##0.00_ ;_ &quot;SFr.&quot;\ * \-#,##0.00_ ;_ &quot;SFr.&quot;\ * &quot;-&quot;??_ ;_ @_ "/>
    <numFmt numFmtId="166" formatCode="0.0%"/>
    <numFmt numFmtId="167" formatCode="0.0"/>
  </numFmts>
  <fonts count="17" x14ac:knownFonts="1">
    <font>
      <sz val="11"/>
      <color theme="1"/>
      <name val="Calibri"/>
      <family val="2"/>
      <scheme val="minor"/>
    </font>
    <font>
      <sz val="11"/>
      <color theme="1"/>
      <name val="Calibri"/>
      <family val="2"/>
      <scheme val="minor"/>
    </font>
    <font>
      <sz val="11"/>
      <color rgb="FF006100"/>
      <name val="Calibri"/>
      <family val="2"/>
      <scheme val="minor"/>
    </font>
    <font>
      <b/>
      <sz val="11"/>
      <color theme="1"/>
      <name val="Calibri"/>
      <family val="2"/>
      <scheme val="minor"/>
    </font>
    <font>
      <sz val="36"/>
      <name val="Arial"/>
      <family val="2"/>
    </font>
    <font>
      <b/>
      <sz val="18"/>
      <name val="Arial"/>
      <family val="2"/>
    </font>
    <font>
      <b/>
      <sz val="14"/>
      <name val="Arial"/>
      <family val="2"/>
    </font>
    <font>
      <b/>
      <sz val="12"/>
      <name val="Arial"/>
      <family val="2"/>
    </font>
    <font>
      <b/>
      <sz val="10"/>
      <name val="Arial"/>
      <family val="2"/>
    </font>
    <font>
      <sz val="10"/>
      <name val="Arial"/>
      <family val="2"/>
    </font>
    <font>
      <sz val="8"/>
      <name val="Arial"/>
      <family val="2"/>
    </font>
    <font>
      <sz val="11"/>
      <name val="Calibri"/>
      <family val="2"/>
      <scheme val="minor"/>
    </font>
    <font>
      <sz val="8"/>
      <color indexed="81"/>
      <name val="Tahoma"/>
      <family val="2"/>
    </font>
    <font>
      <b/>
      <sz val="8"/>
      <color indexed="81"/>
      <name val="Tahoma"/>
      <family val="2"/>
    </font>
    <font>
      <b/>
      <sz val="16"/>
      <color theme="1"/>
      <name val="Calibri"/>
      <family val="2"/>
      <scheme val="minor"/>
    </font>
    <font>
      <b/>
      <sz val="11"/>
      <name val="Arial"/>
      <family val="2"/>
    </font>
    <font>
      <sz val="11"/>
      <name val="Arial"/>
      <family val="2"/>
    </font>
  </fonts>
  <fills count="7">
    <fill>
      <patternFill patternType="none"/>
    </fill>
    <fill>
      <patternFill patternType="gray125"/>
    </fill>
    <fill>
      <patternFill patternType="solid">
        <fgColor rgb="FFC6EFCE"/>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cellStyleXfs>
  <cellXfs count="113">
    <xf numFmtId="0" fontId="0" fillId="0" borderId="0" xfId="0"/>
    <xf numFmtId="0" fontId="3" fillId="3" borderId="5" xfId="0" applyFont="1" applyFill="1" applyBorder="1" applyAlignment="1" applyProtection="1">
      <alignment wrapText="1"/>
      <protection locked="0"/>
    </xf>
    <xf numFmtId="0" fontId="3" fillId="3" borderId="14" xfId="0" applyFont="1" applyFill="1" applyBorder="1" applyAlignment="1" applyProtection="1">
      <alignment wrapText="1"/>
      <protection locked="0"/>
    </xf>
    <xf numFmtId="0" fontId="3" fillId="3" borderId="15" xfId="0" applyFont="1" applyFill="1" applyBorder="1" applyAlignment="1" applyProtection="1">
      <alignment wrapText="1"/>
      <protection locked="0"/>
    </xf>
    <xf numFmtId="0" fontId="5" fillId="0" borderId="0" xfId="0" applyFont="1" applyAlignment="1" applyProtection="1"/>
    <xf numFmtId="0" fontId="0" fillId="0" borderId="0" xfId="0" applyAlignment="1" applyProtection="1"/>
    <xf numFmtId="164" fontId="0" fillId="0" borderId="0" xfId="1" applyFont="1" applyAlignment="1" applyProtection="1"/>
    <xf numFmtId="0" fontId="6" fillId="0" borderId="0" xfId="0" applyFont="1" applyAlignment="1" applyProtection="1"/>
    <xf numFmtId="0" fontId="0" fillId="0" borderId="0" xfId="0" applyAlignment="1" applyProtection="1">
      <alignment wrapText="1"/>
    </xf>
    <xf numFmtId="0" fontId="7" fillId="0" borderId="0" xfId="0" applyFont="1" applyAlignment="1" applyProtection="1">
      <alignment wrapText="1"/>
    </xf>
    <xf numFmtId="0" fontId="0" fillId="3" borderId="0" xfId="0" applyFill="1" applyAlignment="1" applyProtection="1">
      <alignment wrapText="1"/>
    </xf>
    <xf numFmtId="0" fontId="0" fillId="6" borderId="0" xfId="0" applyFill="1" applyAlignment="1" applyProtection="1">
      <alignment wrapText="1"/>
    </xf>
    <xf numFmtId="0" fontId="9" fillId="5" borderId="2" xfId="0" applyFont="1" applyFill="1" applyBorder="1" applyAlignment="1" applyProtection="1">
      <alignment wrapText="1"/>
    </xf>
    <xf numFmtId="0" fontId="0" fillId="0" borderId="0" xfId="0" applyBorder="1" applyAlignment="1" applyProtection="1">
      <alignment wrapText="1"/>
    </xf>
    <xf numFmtId="164" fontId="0" fillId="0" borderId="0" xfId="1" applyFont="1" applyAlignment="1" applyProtection="1">
      <alignment wrapText="1"/>
    </xf>
    <xf numFmtId="0" fontId="9" fillId="5" borderId="1" xfId="0" applyFont="1" applyFill="1" applyBorder="1" applyAlignment="1" applyProtection="1">
      <alignment wrapText="1"/>
    </xf>
    <xf numFmtId="0" fontId="9" fillId="5" borderId="3" xfId="0" applyFont="1" applyFill="1" applyBorder="1" applyAlignment="1" applyProtection="1">
      <alignment wrapText="1"/>
    </xf>
    <xf numFmtId="0" fontId="8" fillId="0" borderId="6" xfId="0" applyFont="1" applyBorder="1" applyAlignment="1" applyProtection="1">
      <alignment wrapText="1"/>
    </xf>
    <xf numFmtId="0" fontId="9" fillId="0" borderId="13" xfId="0" applyFont="1" applyBorder="1" applyAlignment="1" applyProtection="1">
      <alignment wrapText="1"/>
    </xf>
    <xf numFmtId="0" fontId="9" fillId="0" borderId="0" xfId="0" applyFont="1" applyAlignment="1" applyProtection="1">
      <alignment wrapText="1"/>
    </xf>
    <xf numFmtId="164" fontId="9" fillId="0" borderId="0" xfId="1" applyFont="1" applyAlignment="1" applyProtection="1">
      <alignment wrapText="1"/>
    </xf>
    <xf numFmtId="0" fontId="8" fillId="0" borderId="0" xfId="0" applyFont="1" applyAlignment="1" applyProtection="1">
      <alignment wrapText="1"/>
    </xf>
    <xf numFmtId="0" fontId="2" fillId="2" borderId="10" xfId="3" applyBorder="1" applyAlignment="1" applyProtection="1">
      <alignment wrapText="1"/>
    </xf>
    <xf numFmtId="0" fontId="2" fillId="2" borderId="11" xfId="3" applyBorder="1" applyAlignment="1" applyProtection="1">
      <alignment wrapText="1"/>
    </xf>
    <xf numFmtId="164" fontId="2" fillId="2" borderId="11" xfId="3" applyNumberFormat="1" applyBorder="1" applyAlignment="1" applyProtection="1">
      <alignment wrapText="1"/>
    </xf>
    <xf numFmtId="0" fontId="2" fillId="2" borderId="12" xfId="3" applyBorder="1" applyAlignment="1" applyProtection="1">
      <alignment wrapText="1"/>
    </xf>
    <xf numFmtId="0" fontId="0" fillId="0" borderId="0" xfId="0" applyFill="1" applyAlignment="1" applyProtection="1">
      <alignment wrapText="1"/>
    </xf>
    <xf numFmtId="0" fontId="8" fillId="0" borderId="7" xfId="0" applyFont="1" applyFill="1" applyBorder="1" applyAlignment="1" applyProtection="1">
      <alignment wrapText="1"/>
    </xf>
    <xf numFmtId="0" fontId="0" fillId="0" borderId="8" xfId="0" applyFill="1" applyBorder="1" applyAlignment="1" applyProtection="1">
      <alignment wrapText="1"/>
    </xf>
    <xf numFmtId="164" fontId="0" fillId="0" borderId="7" xfId="1" applyFont="1" applyFill="1" applyBorder="1" applyAlignment="1" applyProtection="1">
      <alignment wrapText="1"/>
    </xf>
    <xf numFmtId="0" fontId="0" fillId="0" borderId="7" xfId="0" applyFill="1" applyBorder="1" applyAlignment="1" applyProtection="1">
      <alignment wrapText="1"/>
    </xf>
    <xf numFmtId="164" fontId="8" fillId="0" borderId="9" xfId="1" applyFont="1" applyFill="1" applyBorder="1" applyAlignment="1" applyProtection="1">
      <alignment wrapText="1"/>
    </xf>
    <xf numFmtId="164" fontId="0" fillId="0" borderId="9" xfId="1" applyFont="1" applyFill="1" applyBorder="1" applyAlignment="1" applyProtection="1">
      <alignment wrapText="1"/>
    </xf>
    <xf numFmtId="10" fontId="0" fillId="0" borderId="7" xfId="2" applyNumberFormat="1" applyFont="1" applyFill="1" applyBorder="1" applyAlignment="1" applyProtection="1">
      <alignment wrapText="1"/>
    </xf>
    <xf numFmtId="0" fontId="0" fillId="0" borderId="0" xfId="0" applyFill="1" applyBorder="1" applyAlignment="1" applyProtection="1">
      <alignment wrapText="1"/>
    </xf>
    <xf numFmtId="0" fontId="0" fillId="0" borderId="1" xfId="0" applyFill="1" applyBorder="1" applyAlignment="1" applyProtection="1">
      <alignment wrapText="1"/>
    </xf>
    <xf numFmtId="0" fontId="0" fillId="0" borderId="4" xfId="0" applyFill="1" applyBorder="1" applyAlignment="1" applyProtection="1">
      <alignment wrapText="1"/>
    </xf>
    <xf numFmtId="164" fontId="0" fillId="0" borderId="1" xfId="1" applyFont="1" applyFill="1" applyBorder="1" applyAlignment="1" applyProtection="1">
      <alignment wrapText="1"/>
    </xf>
    <xf numFmtId="164" fontId="8" fillId="0" borderId="2" xfId="1" applyFont="1" applyFill="1" applyBorder="1" applyAlignment="1" applyProtection="1">
      <alignment wrapText="1"/>
    </xf>
    <xf numFmtId="164" fontId="0" fillId="0" borderId="2" xfId="1" applyFont="1" applyFill="1" applyBorder="1" applyAlignment="1" applyProtection="1">
      <alignment wrapText="1"/>
    </xf>
    <xf numFmtId="10" fontId="0" fillId="0" borderId="1" xfId="2" applyNumberFormat="1" applyFont="1" applyFill="1" applyBorder="1" applyAlignment="1" applyProtection="1">
      <alignment wrapText="1"/>
    </xf>
    <xf numFmtId="0" fontId="8" fillId="0" borderId="1" xfId="0" applyFont="1" applyFill="1" applyBorder="1" applyAlignment="1" applyProtection="1">
      <alignment wrapText="1"/>
    </xf>
    <xf numFmtId="0" fontId="9" fillId="0" borderId="1" xfId="0" applyFont="1" applyFill="1" applyBorder="1" applyAlignment="1" applyProtection="1">
      <alignment wrapText="1"/>
    </xf>
    <xf numFmtId="37" fontId="9" fillId="0" borderId="4" xfId="1" applyNumberFormat="1" applyFont="1" applyFill="1" applyBorder="1" applyAlignment="1" applyProtection="1">
      <alignment wrapText="1"/>
    </xf>
    <xf numFmtId="0" fontId="9" fillId="0" borderId="4" xfId="1" applyNumberFormat="1" applyFont="1" applyFill="1" applyBorder="1" applyAlignment="1" applyProtection="1">
      <alignment wrapText="1"/>
    </xf>
    <xf numFmtId="164" fontId="9" fillId="0" borderId="2" xfId="1" applyFont="1" applyFill="1" applyBorder="1" applyAlignment="1" applyProtection="1">
      <alignment wrapText="1"/>
    </xf>
    <xf numFmtId="164" fontId="0" fillId="0" borderId="0" xfId="1" applyFont="1" applyBorder="1" applyAlignment="1" applyProtection="1">
      <alignment wrapText="1"/>
    </xf>
    <xf numFmtId="0" fontId="0" fillId="0" borderId="2" xfId="0" applyFill="1" applyBorder="1" applyAlignment="1" applyProtection="1">
      <alignment wrapText="1"/>
    </xf>
    <xf numFmtId="0" fontId="9" fillId="4" borderId="4" xfId="0" applyFont="1" applyFill="1" applyBorder="1" applyAlignment="1" applyProtection="1">
      <alignment wrapText="1"/>
    </xf>
    <xf numFmtId="0" fontId="9" fillId="0" borderId="4" xfId="0" applyFont="1" applyFill="1" applyBorder="1" applyAlignment="1" applyProtection="1">
      <alignment wrapText="1"/>
    </xf>
    <xf numFmtId="164" fontId="9" fillId="0" borderId="1" xfId="1" applyFont="1" applyFill="1" applyBorder="1" applyAlignment="1" applyProtection="1">
      <alignment wrapText="1"/>
    </xf>
    <xf numFmtId="164" fontId="0" fillId="0" borderId="0" xfId="1" applyFont="1" applyFill="1" applyAlignment="1" applyProtection="1">
      <alignment wrapText="1"/>
    </xf>
    <xf numFmtId="2" fontId="0" fillId="0" borderId="4" xfId="0" applyNumberFormat="1" applyFill="1" applyBorder="1" applyAlignment="1" applyProtection="1">
      <alignment wrapText="1"/>
    </xf>
    <xf numFmtId="164" fontId="1" fillId="4" borderId="1" xfId="1" applyFont="1" applyFill="1" applyBorder="1" applyAlignment="1" applyProtection="1">
      <alignment wrapText="1"/>
    </xf>
    <xf numFmtId="166" fontId="9" fillId="0" borderId="4" xfId="2" applyNumberFormat="1" applyFont="1" applyFill="1" applyBorder="1" applyAlignment="1" applyProtection="1">
      <alignment wrapText="1"/>
    </xf>
    <xf numFmtId="164" fontId="0" fillId="0" borderId="1" xfId="0" applyNumberFormat="1" applyFill="1" applyBorder="1" applyAlignment="1" applyProtection="1">
      <alignment wrapText="1"/>
    </xf>
    <xf numFmtId="0" fontId="0" fillId="4" borderId="4" xfId="0" applyFill="1" applyBorder="1" applyAlignment="1" applyProtection="1">
      <alignment wrapText="1"/>
    </xf>
    <xf numFmtId="1" fontId="0" fillId="0" borderId="4" xfId="0" applyNumberFormat="1" applyFill="1" applyBorder="1" applyAlignment="1" applyProtection="1">
      <alignment wrapText="1"/>
    </xf>
    <xf numFmtId="0" fontId="0" fillId="0" borderId="1" xfId="0" applyBorder="1" applyAlignment="1" applyProtection="1">
      <alignment wrapText="1"/>
    </xf>
    <xf numFmtId="164" fontId="8" fillId="0" borderId="1" xfId="1" applyFont="1" applyFill="1" applyBorder="1" applyAlignment="1" applyProtection="1">
      <alignment wrapText="1"/>
    </xf>
    <xf numFmtId="0" fontId="8" fillId="0" borderId="4" xfId="0" applyFont="1" applyFill="1" applyBorder="1" applyAlignment="1" applyProtection="1">
      <alignment wrapText="1"/>
    </xf>
    <xf numFmtId="0" fontId="8" fillId="0" borderId="0" xfId="0" applyFont="1" applyBorder="1" applyAlignment="1" applyProtection="1">
      <alignment wrapText="1"/>
    </xf>
    <xf numFmtId="164" fontId="8" fillId="0" borderId="0" xfId="1" applyFont="1" applyBorder="1" applyAlignment="1" applyProtection="1">
      <alignment wrapText="1"/>
    </xf>
    <xf numFmtId="167" fontId="0" fillId="0" borderId="4" xfId="0" applyNumberFormat="1" applyFill="1" applyBorder="1" applyAlignment="1" applyProtection="1">
      <alignment wrapText="1"/>
    </xf>
    <xf numFmtId="164" fontId="3" fillId="0" borderId="1" xfId="1" applyFont="1" applyBorder="1" applyAlignment="1" applyProtection="1">
      <alignment wrapText="1"/>
    </xf>
    <xf numFmtId="0" fontId="3" fillId="3" borderId="1" xfId="0" applyFont="1" applyFill="1" applyBorder="1" applyAlignment="1" applyProtection="1">
      <alignment wrapText="1"/>
    </xf>
    <xf numFmtId="0" fontId="3" fillId="0" borderId="1" xfId="0" applyFont="1" applyBorder="1" applyAlignment="1" applyProtection="1">
      <alignment wrapText="1"/>
    </xf>
    <xf numFmtId="0" fontId="4" fillId="0" borderId="0" xfId="0" applyFont="1" applyAlignment="1" applyProtection="1">
      <alignment wrapText="1"/>
    </xf>
    <xf numFmtId="0" fontId="10" fillId="0" borderId="0" xfId="0" applyFont="1" applyAlignment="1" applyProtection="1">
      <alignment wrapText="1"/>
    </xf>
    <xf numFmtId="0" fontId="3" fillId="3" borderId="15" xfId="0" applyNumberFormat="1" applyFont="1" applyFill="1" applyBorder="1" applyAlignment="1" applyProtection="1">
      <alignment wrapText="1"/>
      <protection locked="0"/>
    </xf>
    <xf numFmtId="0" fontId="3" fillId="3" borderId="16" xfId="0" applyFont="1" applyFill="1" applyBorder="1" applyAlignment="1" applyProtection="1">
      <alignment wrapText="1"/>
      <protection locked="0"/>
    </xf>
    <xf numFmtId="164" fontId="0" fillId="6" borderId="1" xfId="1" applyFont="1" applyFill="1" applyBorder="1" applyAlignment="1" applyProtection="1">
      <alignment wrapText="1"/>
      <protection locked="0"/>
    </xf>
    <xf numFmtId="164" fontId="9" fillId="6" borderId="1" xfId="1" applyFont="1" applyFill="1" applyBorder="1" applyAlignment="1" applyProtection="1">
      <alignment wrapText="1"/>
      <protection locked="0"/>
    </xf>
    <xf numFmtId="0" fontId="0" fillId="0" borderId="0" xfId="1" applyNumberFormat="1" applyFont="1" applyBorder="1" applyAlignment="1" applyProtection="1">
      <alignment wrapText="1"/>
      <protection locked="0"/>
    </xf>
    <xf numFmtId="0" fontId="7" fillId="0" borderId="0" xfId="0" applyFont="1" applyAlignment="1" applyProtection="1">
      <alignment vertical="center" wrapText="1"/>
    </xf>
    <xf numFmtId="0" fontId="3" fillId="0" borderId="0" xfId="0" applyFont="1" applyAlignment="1" applyProtection="1">
      <alignment wrapText="1"/>
    </xf>
    <xf numFmtId="0" fontId="8" fillId="0" borderId="2" xfId="0" applyFont="1" applyFill="1" applyBorder="1" applyAlignment="1" applyProtection="1">
      <alignment wrapText="1"/>
    </xf>
    <xf numFmtId="165" fontId="8" fillId="0" borderId="4" xfId="0" applyNumberFormat="1" applyFont="1" applyFill="1" applyBorder="1" applyAlignment="1" applyProtection="1">
      <alignment wrapText="1"/>
    </xf>
    <xf numFmtId="0" fontId="0" fillId="0" borderId="17" xfId="0" applyFill="1" applyBorder="1" applyAlignment="1" applyProtection="1">
      <alignment wrapText="1"/>
    </xf>
    <xf numFmtId="164" fontId="0" fillId="0" borderId="6" xfId="1" applyFont="1" applyFill="1" applyBorder="1" applyAlignment="1" applyProtection="1">
      <alignment wrapText="1"/>
    </xf>
    <xf numFmtId="0" fontId="0" fillId="0" borderId="6" xfId="0" applyFill="1" applyBorder="1" applyAlignment="1" applyProtection="1">
      <alignment wrapText="1"/>
    </xf>
    <xf numFmtId="1" fontId="0" fillId="0" borderId="8" xfId="0" applyNumberFormat="1" applyFill="1" applyBorder="1" applyAlignment="1" applyProtection="1">
      <alignment wrapText="1"/>
    </xf>
    <xf numFmtId="164" fontId="0" fillId="6" borderId="7" xfId="1" applyFont="1" applyFill="1" applyBorder="1" applyAlignment="1" applyProtection="1">
      <alignment wrapText="1"/>
      <protection locked="0"/>
    </xf>
    <xf numFmtId="0" fontId="0" fillId="0" borderId="18" xfId="0" applyFill="1" applyBorder="1" applyAlignment="1" applyProtection="1">
      <alignment wrapText="1"/>
    </xf>
    <xf numFmtId="164" fontId="0" fillId="0" borderId="18" xfId="1" applyFont="1" applyFill="1" applyBorder="1" applyAlignment="1" applyProtection="1">
      <alignment wrapText="1"/>
    </xf>
    <xf numFmtId="164" fontId="3" fillId="0" borderId="18" xfId="0" applyNumberFormat="1" applyFont="1" applyFill="1" applyBorder="1" applyAlignment="1" applyProtection="1">
      <alignment wrapText="1"/>
    </xf>
    <xf numFmtId="2" fontId="0" fillId="0" borderId="17" xfId="0" applyNumberFormat="1" applyFill="1" applyBorder="1" applyAlignment="1" applyProtection="1">
      <alignment wrapText="1"/>
    </xf>
    <xf numFmtId="164" fontId="9" fillId="0" borderId="3" xfId="1" applyFont="1" applyFill="1" applyBorder="1" applyAlignment="1" applyProtection="1">
      <alignment wrapText="1"/>
    </xf>
    <xf numFmtId="164" fontId="11" fillId="6" borderId="7" xfId="1" applyFont="1" applyFill="1" applyBorder="1" applyAlignment="1" applyProtection="1">
      <alignment wrapText="1"/>
      <protection locked="0"/>
    </xf>
    <xf numFmtId="164" fontId="9" fillId="0" borderId="9" xfId="1" applyFont="1" applyFill="1" applyBorder="1" applyAlignment="1" applyProtection="1">
      <alignment wrapText="1"/>
    </xf>
    <xf numFmtId="2" fontId="0" fillId="0" borderId="2" xfId="0" applyNumberFormat="1" applyFill="1" applyBorder="1" applyAlignment="1" applyProtection="1">
      <alignment wrapText="1"/>
    </xf>
    <xf numFmtId="164" fontId="9" fillId="0" borderId="4" xfId="1" applyFont="1" applyFill="1" applyBorder="1" applyAlignment="1" applyProtection="1">
      <alignment wrapText="1"/>
    </xf>
    <xf numFmtId="165" fontId="0" fillId="0" borderId="6" xfId="0" applyNumberFormat="1" applyFill="1" applyBorder="1" applyAlignment="1" applyProtection="1">
      <alignment wrapText="1"/>
    </xf>
    <xf numFmtId="0" fontId="9" fillId="4" borderId="8" xfId="0" applyFont="1" applyFill="1" applyBorder="1" applyAlignment="1" applyProtection="1">
      <alignment wrapText="1"/>
    </xf>
    <xf numFmtId="0" fontId="9" fillId="0" borderId="8" xfId="0" applyFont="1" applyFill="1" applyBorder="1" applyAlignment="1" applyProtection="1">
      <alignment wrapText="1"/>
    </xf>
    <xf numFmtId="164" fontId="8" fillId="0" borderId="18" xfId="1" applyFont="1" applyFill="1" applyBorder="1" applyAlignment="1" applyProtection="1">
      <alignment wrapText="1"/>
    </xf>
    <xf numFmtId="164" fontId="0" fillId="4" borderId="7" xfId="1" applyFont="1" applyFill="1" applyBorder="1" applyAlignment="1" applyProtection="1">
      <alignment wrapText="1"/>
    </xf>
    <xf numFmtId="37" fontId="9" fillId="0" borderId="8" xfId="1" applyNumberFormat="1" applyFont="1" applyFill="1" applyBorder="1" applyAlignment="1" applyProtection="1">
      <alignment wrapText="1"/>
    </xf>
    <xf numFmtId="0" fontId="9" fillId="0" borderId="8" xfId="1" applyNumberFormat="1" applyFont="1" applyFill="1" applyBorder="1" applyAlignment="1" applyProtection="1">
      <alignment wrapText="1"/>
    </xf>
    <xf numFmtId="166" fontId="3" fillId="3" borderId="19" xfId="0" applyNumberFormat="1" applyFont="1" applyFill="1" applyBorder="1" applyAlignment="1" applyProtection="1">
      <alignment wrapText="1"/>
      <protection locked="0"/>
    </xf>
    <xf numFmtId="0" fontId="3" fillId="0" borderId="5" xfId="0" applyFont="1" applyBorder="1" applyAlignment="1" applyProtection="1">
      <alignment wrapText="1"/>
    </xf>
    <xf numFmtId="0" fontId="0" fillId="0" borderId="1" xfId="0" applyBorder="1"/>
    <xf numFmtId="0" fontId="14" fillId="3" borderId="1" xfId="0" applyFont="1" applyFill="1" applyBorder="1" applyAlignment="1" applyProtection="1">
      <alignment wrapText="1"/>
      <protection locked="0"/>
    </xf>
    <xf numFmtId="164" fontId="8" fillId="0" borderId="4" xfId="1" applyFont="1" applyFill="1" applyBorder="1" applyAlignment="1" applyProtection="1">
      <alignment wrapText="1"/>
    </xf>
    <xf numFmtId="165" fontId="3" fillId="0" borderId="7" xfId="0" applyNumberFormat="1" applyFont="1" applyBorder="1" applyAlignment="1" applyProtection="1">
      <alignment wrapText="1"/>
    </xf>
    <xf numFmtId="0" fontId="0" fillId="0" borderId="0" xfId="0" applyAlignment="1">
      <alignment wrapText="1"/>
    </xf>
    <xf numFmtId="0" fontId="5" fillId="0" borderId="0" xfId="0" applyFont="1" applyAlignment="1" applyProtection="1">
      <alignment wrapText="1"/>
    </xf>
    <xf numFmtId="164" fontId="15" fillId="0" borderId="1" xfId="1" applyFont="1" applyFill="1" applyBorder="1" applyAlignment="1" applyProtection="1">
      <alignment wrapText="1"/>
    </xf>
    <xf numFmtId="0" fontId="15" fillId="0" borderId="1" xfId="0" applyFont="1" applyFill="1" applyBorder="1" applyAlignment="1" applyProtection="1">
      <alignment wrapText="1"/>
    </xf>
    <xf numFmtId="164" fontId="15" fillId="0" borderId="2" xfId="1" applyFont="1" applyFill="1" applyBorder="1" applyAlignment="1" applyProtection="1">
      <alignment wrapText="1"/>
    </xf>
    <xf numFmtId="164" fontId="15" fillId="0" borderId="5" xfId="1" applyFont="1" applyFill="1" applyBorder="1" applyAlignment="1" applyProtection="1">
      <alignment wrapText="1"/>
    </xf>
    <xf numFmtId="2" fontId="15" fillId="0" borderId="1" xfId="1" applyNumberFormat="1" applyFont="1" applyFill="1" applyBorder="1" applyAlignment="1" applyProtection="1">
      <alignment wrapText="1"/>
    </xf>
    <xf numFmtId="164" fontId="16" fillId="0" borderId="1" xfId="1" applyFont="1" applyFill="1" applyBorder="1" applyAlignment="1" applyProtection="1">
      <alignment wrapText="1"/>
    </xf>
  </cellXfs>
  <cellStyles count="4">
    <cellStyle name="Gut" xfId="3" builtinId="26"/>
    <cellStyle name="Prozent" xfId="2" builtinId="5"/>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firstButton="1" fmlaLink="Feuil3!$A$1" lockText="1" noThreeD="1"/>
</file>

<file path=xl/ctrlProps/ctrlProp2.xml><?xml version="1.0" encoding="utf-8"?>
<formControlPr xmlns="http://schemas.microsoft.com/office/spreadsheetml/2009/9/main" objectType="Radio"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185736</xdr:rowOff>
    </xdr:from>
    <xdr:to>
      <xdr:col>0</xdr:col>
      <xdr:colOff>5406608</xdr:colOff>
      <xdr:row>21</xdr:row>
      <xdr:rowOff>39183</xdr:rowOff>
    </xdr:to>
    <xdr:pic>
      <xdr:nvPicPr>
        <xdr:cNvPr id="20" name="Image 19">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654453"/>
          <a:ext cx="5406608" cy="1567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15688</xdr:colOff>
      <xdr:row>3</xdr:row>
      <xdr:rowOff>229448</xdr:rowOff>
    </xdr:from>
    <xdr:to>
      <xdr:col>6</xdr:col>
      <xdr:colOff>6165</xdr:colOff>
      <xdr:row>9</xdr:row>
      <xdr:rowOff>95249</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89394" y="1159536"/>
          <a:ext cx="2791947" cy="122171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552450</xdr:colOff>
          <xdr:row>2</xdr:row>
          <xdr:rowOff>257175</xdr:rowOff>
        </xdr:from>
        <xdr:to>
          <xdr:col>0</xdr:col>
          <xdr:colOff>923925</xdr:colOff>
          <xdr:row>2</xdr:row>
          <xdr:rowOff>447675</xdr:rowOff>
        </xdr:to>
        <xdr:sp macro="" textlink="">
          <xdr:nvSpPr>
            <xdr:cNvPr id="1063" name="Option Button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2343150</xdr:colOff>
          <xdr:row>2</xdr:row>
          <xdr:rowOff>285750</xdr:rowOff>
        </xdr:from>
        <xdr:to>
          <xdr:col>0</xdr:col>
          <xdr:colOff>2686050</xdr:colOff>
          <xdr:row>2</xdr:row>
          <xdr:rowOff>438150</xdr:rowOff>
        </xdr:to>
        <xdr:sp macro="" textlink="">
          <xdr:nvSpPr>
            <xdr:cNvPr id="1064" name="Option Button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xdr:col>
      <xdr:colOff>50986</xdr:colOff>
      <xdr:row>3</xdr:row>
      <xdr:rowOff>266700</xdr:rowOff>
    </xdr:from>
    <xdr:to>
      <xdr:col>8</xdr:col>
      <xdr:colOff>271897</xdr:colOff>
      <xdr:row>7</xdr:row>
      <xdr:rowOff>64089</xdr:rowOff>
    </xdr:to>
    <xdr:pic>
      <xdr:nvPicPr>
        <xdr:cNvPr id="7" name="Grafik 2">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6162" y="1196788"/>
          <a:ext cx="1937523" cy="749889"/>
        </a:xfrm>
        <a:prstGeom prst="rect">
          <a:avLst/>
        </a:prstGeom>
      </xdr:spPr>
    </xdr:pic>
    <xdr:clientData/>
  </xdr:twoCellAnchor>
  <xdr:twoCellAnchor editAs="oneCell">
    <xdr:from>
      <xdr:col>3</xdr:col>
      <xdr:colOff>9525</xdr:colOff>
      <xdr:row>9</xdr:row>
      <xdr:rowOff>190500</xdr:rowOff>
    </xdr:from>
    <xdr:to>
      <xdr:col>8</xdr:col>
      <xdr:colOff>298206</xdr:colOff>
      <xdr:row>15</xdr:row>
      <xdr:rowOff>126024</xdr:rowOff>
    </xdr:to>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3"/>
        <a:srcRect l="4403" t="11550" r="6821" b="16106"/>
        <a:stretch/>
      </xdr:blipFill>
      <xdr:spPr>
        <a:xfrm>
          <a:off x="4781550" y="2476500"/>
          <a:ext cx="4800600" cy="1133476"/>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tabSelected="1" zoomScaleNormal="100" workbookViewId="0">
      <selection activeCell="C8" sqref="C8"/>
    </sheetView>
  </sheetViews>
  <sheetFormatPr baseColWidth="10" defaultRowHeight="15" x14ac:dyDescent="0.25"/>
  <cols>
    <col min="1" max="1" width="102.5703125" customWidth="1"/>
  </cols>
  <sheetData>
    <row r="1" spans="1:9" ht="23.25" x14ac:dyDescent="0.35">
      <c r="A1" s="106" t="str">
        <f>Feuil3!C2</f>
        <v>Kostenberechnung für Destillate</v>
      </c>
    </row>
    <row r="2" spans="1:9" ht="35.25" customHeight="1" x14ac:dyDescent="0.35">
      <c r="A2" s="106" t="str">
        <f>'Outil de calcul'!A2</f>
        <v>aus der Sicht als "Kleinproduzent" als Kunde beim Lohnbrenner</v>
      </c>
    </row>
    <row r="3" spans="1:9" ht="23.25" x14ac:dyDescent="0.35">
      <c r="A3" s="106"/>
    </row>
    <row r="4" spans="1:9" ht="240" x14ac:dyDescent="0.25">
      <c r="A4" s="105" t="s">
        <v>176</v>
      </c>
    </row>
    <row r="5" spans="1:9" ht="17.25" customHeight="1" x14ac:dyDescent="0.25">
      <c r="A5" s="105"/>
    </row>
    <row r="6" spans="1:9" ht="30" x14ac:dyDescent="0.25">
      <c r="A6" s="105" t="s">
        <v>173</v>
      </c>
    </row>
    <row r="7" spans="1:9" x14ac:dyDescent="0.25">
      <c r="A7" s="105"/>
    </row>
    <row r="8" spans="1:9" ht="225" x14ac:dyDescent="0.25">
      <c r="A8" s="105" t="s">
        <v>174</v>
      </c>
      <c r="B8" s="105"/>
      <c r="C8" s="105"/>
      <c r="D8" s="105"/>
      <c r="E8" s="105"/>
      <c r="F8" s="105"/>
      <c r="G8" s="105"/>
      <c r="H8" s="105"/>
      <c r="I8" s="105"/>
    </row>
    <row r="9" spans="1:9" x14ac:dyDescent="0.25">
      <c r="A9" s="105"/>
    </row>
    <row r="10" spans="1:9" ht="30" x14ac:dyDescent="0.25">
      <c r="A10" s="105" t="s">
        <v>172</v>
      </c>
    </row>
    <row r="11" spans="1:9" x14ac:dyDescent="0.25">
      <c r="A11" s="105"/>
    </row>
    <row r="12" spans="1:9" ht="90" x14ac:dyDescent="0.25">
      <c r="A12" s="105" t="s">
        <v>167</v>
      </c>
      <c r="D12" s="105"/>
    </row>
  </sheetData>
  <sheetProtection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71"/>
  <sheetViews>
    <sheetView topLeftCell="A19" zoomScale="115" zoomScaleNormal="115" workbookViewId="0">
      <selection activeCell="M13" sqref="M13"/>
    </sheetView>
  </sheetViews>
  <sheetFormatPr baseColWidth="10" defaultRowHeight="15" x14ac:dyDescent="0.25"/>
  <cols>
    <col min="1" max="1" width="41.42578125" style="8" customWidth="1"/>
    <col min="2" max="2" width="14" style="8" customWidth="1"/>
    <col min="3" max="3" width="9" style="8" bestFit="1" customWidth="1"/>
    <col min="4" max="4" width="16.28515625" style="14" bestFit="1" customWidth="1"/>
    <col min="5" max="9" width="12.85546875" style="8" customWidth="1"/>
    <col min="10" max="10" width="11.42578125" style="8"/>
    <col min="11" max="11" width="17.5703125" style="8" customWidth="1"/>
    <col min="12" max="257" width="11.42578125" style="8"/>
    <col min="258" max="258" width="20.42578125" style="8" customWidth="1"/>
    <col min="259" max="259" width="6" style="8" customWidth="1"/>
    <col min="260" max="260" width="11.85546875" style="8" customWidth="1"/>
    <col min="261" max="261" width="12" style="8" customWidth="1"/>
    <col min="262" max="262" width="13.28515625" style="8" customWidth="1"/>
    <col min="263" max="263" width="11.7109375" style="8" customWidth="1"/>
    <col min="264" max="264" width="13.5703125" style="8" customWidth="1"/>
    <col min="265" max="265" width="7.5703125" style="8" customWidth="1"/>
    <col min="266" max="266" width="11.42578125" style="8"/>
    <col min="267" max="267" width="12" style="8" bestFit="1" customWidth="1"/>
    <col min="268" max="513" width="11.42578125" style="8"/>
    <col min="514" max="514" width="20.42578125" style="8" customWidth="1"/>
    <col min="515" max="515" width="6" style="8" customWidth="1"/>
    <col min="516" max="516" width="11.85546875" style="8" customWidth="1"/>
    <col min="517" max="517" width="12" style="8" customWidth="1"/>
    <col min="518" max="518" width="13.28515625" style="8" customWidth="1"/>
    <col min="519" max="519" width="11.7109375" style="8" customWidth="1"/>
    <col min="520" max="520" width="13.5703125" style="8" customWidth="1"/>
    <col min="521" max="521" width="7.5703125" style="8" customWidth="1"/>
    <col min="522" max="522" width="11.42578125" style="8"/>
    <col min="523" max="523" width="12" style="8" bestFit="1" customWidth="1"/>
    <col min="524" max="769" width="11.42578125" style="8"/>
    <col min="770" max="770" width="20.42578125" style="8" customWidth="1"/>
    <col min="771" max="771" width="6" style="8" customWidth="1"/>
    <col min="772" max="772" width="11.85546875" style="8" customWidth="1"/>
    <col min="773" max="773" width="12" style="8" customWidth="1"/>
    <col min="774" max="774" width="13.28515625" style="8" customWidth="1"/>
    <col min="775" max="775" width="11.7109375" style="8" customWidth="1"/>
    <col min="776" max="776" width="13.5703125" style="8" customWidth="1"/>
    <col min="777" max="777" width="7.5703125" style="8" customWidth="1"/>
    <col min="778" max="778" width="11.42578125" style="8"/>
    <col min="779" max="779" width="12" style="8" bestFit="1" customWidth="1"/>
    <col min="780" max="1025" width="11.42578125" style="8"/>
    <col min="1026" max="1026" width="20.42578125" style="8" customWidth="1"/>
    <col min="1027" max="1027" width="6" style="8" customWidth="1"/>
    <col min="1028" max="1028" width="11.85546875" style="8" customWidth="1"/>
    <col min="1029" max="1029" width="12" style="8" customWidth="1"/>
    <col min="1030" max="1030" width="13.28515625" style="8" customWidth="1"/>
    <col min="1031" max="1031" width="11.7109375" style="8" customWidth="1"/>
    <col min="1032" max="1032" width="13.5703125" style="8" customWidth="1"/>
    <col min="1033" max="1033" width="7.5703125" style="8" customWidth="1"/>
    <col min="1034" max="1034" width="11.42578125" style="8"/>
    <col min="1035" max="1035" width="12" style="8" bestFit="1" customWidth="1"/>
    <col min="1036" max="1281" width="11.42578125" style="8"/>
    <col min="1282" max="1282" width="20.42578125" style="8" customWidth="1"/>
    <col min="1283" max="1283" width="6" style="8" customWidth="1"/>
    <col min="1284" max="1284" width="11.85546875" style="8" customWidth="1"/>
    <col min="1285" max="1285" width="12" style="8" customWidth="1"/>
    <col min="1286" max="1286" width="13.28515625" style="8" customWidth="1"/>
    <col min="1287" max="1287" width="11.7109375" style="8" customWidth="1"/>
    <col min="1288" max="1288" width="13.5703125" style="8" customWidth="1"/>
    <col min="1289" max="1289" width="7.5703125" style="8" customWidth="1"/>
    <col min="1290" max="1290" width="11.42578125" style="8"/>
    <col min="1291" max="1291" width="12" style="8" bestFit="1" customWidth="1"/>
    <col min="1292" max="1537" width="11.42578125" style="8"/>
    <col min="1538" max="1538" width="20.42578125" style="8" customWidth="1"/>
    <col min="1539" max="1539" width="6" style="8" customWidth="1"/>
    <col min="1540" max="1540" width="11.85546875" style="8" customWidth="1"/>
    <col min="1541" max="1541" width="12" style="8" customWidth="1"/>
    <col min="1542" max="1542" width="13.28515625" style="8" customWidth="1"/>
    <col min="1543" max="1543" width="11.7109375" style="8" customWidth="1"/>
    <col min="1544" max="1544" width="13.5703125" style="8" customWidth="1"/>
    <col min="1545" max="1545" width="7.5703125" style="8" customWidth="1"/>
    <col min="1546" max="1546" width="11.42578125" style="8"/>
    <col min="1547" max="1547" width="12" style="8" bestFit="1" customWidth="1"/>
    <col min="1548" max="1793" width="11.42578125" style="8"/>
    <col min="1794" max="1794" width="20.42578125" style="8" customWidth="1"/>
    <col min="1795" max="1795" width="6" style="8" customWidth="1"/>
    <col min="1796" max="1796" width="11.85546875" style="8" customWidth="1"/>
    <col min="1797" max="1797" width="12" style="8" customWidth="1"/>
    <col min="1798" max="1798" width="13.28515625" style="8" customWidth="1"/>
    <col min="1799" max="1799" width="11.7109375" style="8" customWidth="1"/>
    <col min="1800" max="1800" width="13.5703125" style="8" customWidth="1"/>
    <col min="1801" max="1801" width="7.5703125" style="8" customWidth="1"/>
    <col min="1802" max="1802" width="11.42578125" style="8"/>
    <col min="1803" max="1803" width="12" style="8" bestFit="1" customWidth="1"/>
    <col min="1804" max="2049" width="11.42578125" style="8"/>
    <col min="2050" max="2050" width="20.42578125" style="8" customWidth="1"/>
    <col min="2051" max="2051" width="6" style="8" customWidth="1"/>
    <col min="2052" max="2052" width="11.85546875" style="8" customWidth="1"/>
    <col min="2053" max="2053" width="12" style="8" customWidth="1"/>
    <col min="2054" max="2054" width="13.28515625" style="8" customWidth="1"/>
    <col min="2055" max="2055" width="11.7109375" style="8" customWidth="1"/>
    <col min="2056" max="2056" width="13.5703125" style="8" customWidth="1"/>
    <col min="2057" max="2057" width="7.5703125" style="8" customWidth="1"/>
    <col min="2058" max="2058" width="11.42578125" style="8"/>
    <col min="2059" max="2059" width="12" style="8" bestFit="1" customWidth="1"/>
    <col min="2060" max="2305" width="11.42578125" style="8"/>
    <col min="2306" max="2306" width="20.42578125" style="8" customWidth="1"/>
    <col min="2307" max="2307" width="6" style="8" customWidth="1"/>
    <col min="2308" max="2308" width="11.85546875" style="8" customWidth="1"/>
    <col min="2309" max="2309" width="12" style="8" customWidth="1"/>
    <col min="2310" max="2310" width="13.28515625" style="8" customWidth="1"/>
    <col min="2311" max="2311" width="11.7109375" style="8" customWidth="1"/>
    <col min="2312" max="2312" width="13.5703125" style="8" customWidth="1"/>
    <col min="2313" max="2313" width="7.5703125" style="8" customWidth="1"/>
    <col min="2314" max="2314" width="11.42578125" style="8"/>
    <col min="2315" max="2315" width="12" style="8" bestFit="1" customWidth="1"/>
    <col min="2316" max="2561" width="11.42578125" style="8"/>
    <col min="2562" max="2562" width="20.42578125" style="8" customWidth="1"/>
    <col min="2563" max="2563" width="6" style="8" customWidth="1"/>
    <col min="2564" max="2564" width="11.85546875" style="8" customWidth="1"/>
    <col min="2565" max="2565" width="12" style="8" customWidth="1"/>
    <col min="2566" max="2566" width="13.28515625" style="8" customWidth="1"/>
    <col min="2567" max="2567" width="11.7109375" style="8" customWidth="1"/>
    <col min="2568" max="2568" width="13.5703125" style="8" customWidth="1"/>
    <col min="2569" max="2569" width="7.5703125" style="8" customWidth="1"/>
    <col min="2570" max="2570" width="11.42578125" style="8"/>
    <col min="2571" max="2571" width="12" style="8" bestFit="1" customWidth="1"/>
    <col min="2572" max="2817" width="11.42578125" style="8"/>
    <col min="2818" max="2818" width="20.42578125" style="8" customWidth="1"/>
    <col min="2819" max="2819" width="6" style="8" customWidth="1"/>
    <col min="2820" max="2820" width="11.85546875" style="8" customWidth="1"/>
    <col min="2821" max="2821" width="12" style="8" customWidth="1"/>
    <col min="2822" max="2822" width="13.28515625" style="8" customWidth="1"/>
    <col min="2823" max="2823" width="11.7109375" style="8" customWidth="1"/>
    <col min="2824" max="2824" width="13.5703125" style="8" customWidth="1"/>
    <col min="2825" max="2825" width="7.5703125" style="8" customWidth="1"/>
    <col min="2826" max="2826" width="11.42578125" style="8"/>
    <col min="2827" max="2827" width="12" style="8" bestFit="1" customWidth="1"/>
    <col min="2828" max="3073" width="11.42578125" style="8"/>
    <col min="3074" max="3074" width="20.42578125" style="8" customWidth="1"/>
    <col min="3075" max="3075" width="6" style="8" customWidth="1"/>
    <col min="3076" max="3076" width="11.85546875" style="8" customWidth="1"/>
    <col min="3077" max="3077" width="12" style="8" customWidth="1"/>
    <col min="3078" max="3078" width="13.28515625" style="8" customWidth="1"/>
    <col min="3079" max="3079" width="11.7109375" style="8" customWidth="1"/>
    <col min="3080" max="3080" width="13.5703125" style="8" customWidth="1"/>
    <col min="3081" max="3081" width="7.5703125" style="8" customWidth="1"/>
    <col min="3082" max="3082" width="11.42578125" style="8"/>
    <col min="3083" max="3083" width="12" style="8" bestFit="1" customWidth="1"/>
    <col min="3084" max="3329" width="11.42578125" style="8"/>
    <col min="3330" max="3330" width="20.42578125" style="8" customWidth="1"/>
    <col min="3331" max="3331" width="6" style="8" customWidth="1"/>
    <col min="3332" max="3332" width="11.85546875" style="8" customWidth="1"/>
    <col min="3333" max="3333" width="12" style="8" customWidth="1"/>
    <col min="3334" max="3334" width="13.28515625" style="8" customWidth="1"/>
    <col min="3335" max="3335" width="11.7109375" style="8" customWidth="1"/>
    <col min="3336" max="3336" width="13.5703125" style="8" customWidth="1"/>
    <col min="3337" max="3337" width="7.5703125" style="8" customWidth="1"/>
    <col min="3338" max="3338" width="11.42578125" style="8"/>
    <col min="3339" max="3339" width="12" style="8" bestFit="1" customWidth="1"/>
    <col min="3340" max="3585" width="11.42578125" style="8"/>
    <col min="3586" max="3586" width="20.42578125" style="8" customWidth="1"/>
    <col min="3587" max="3587" width="6" style="8" customWidth="1"/>
    <col min="3588" max="3588" width="11.85546875" style="8" customWidth="1"/>
    <col min="3589" max="3589" width="12" style="8" customWidth="1"/>
    <col min="3590" max="3590" width="13.28515625" style="8" customWidth="1"/>
    <col min="3591" max="3591" width="11.7109375" style="8" customWidth="1"/>
    <col min="3592" max="3592" width="13.5703125" style="8" customWidth="1"/>
    <col min="3593" max="3593" width="7.5703125" style="8" customWidth="1"/>
    <col min="3594" max="3594" width="11.42578125" style="8"/>
    <col min="3595" max="3595" width="12" style="8" bestFit="1" customWidth="1"/>
    <col min="3596" max="3841" width="11.42578125" style="8"/>
    <col min="3842" max="3842" width="20.42578125" style="8" customWidth="1"/>
    <col min="3843" max="3843" width="6" style="8" customWidth="1"/>
    <col min="3844" max="3844" width="11.85546875" style="8" customWidth="1"/>
    <col min="3845" max="3845" width="12" style="8" customWidth="1"/>
    <col min="3846" max="3846" width="13.28515625" style="8" customWidth="1"/>
    <col min="3847" max="3847" width="11.7109375" style="8" customWidth="1"/>
    <col min="3848" max="3848" width="13.5703125" style="8" customWidth="1"/>
    <col min="3849" max="3849" width="7.5703125" style="8" customWidth="1"/>
    <col min="3850" max="3850" width="11.42578125" style="8"/>
    <col min="3851" max="3851" width="12" style="8" bestFit="1" customWidth="1"/>
    <col min="3852" max="4097" width="11.42578125" style="8"/>
    <col min="4098" max="4098" width="20.42578125" style="8" customWidth="1"/>
    <col min="4099" max="4099" width="6" style="8" customWidth="1"/>
    <col min="4100" max="4100" width="11.85546875" style="8" customWidth="1"/>
    <col min="4101" max="4101" width="12" style="8" customWidth="1"/>
    <col min="4102" max="4102" width="13.28515625" style="8" customWidth="1"/>
    <col min="4103" max="4103" width="11.7109375" style="8" customWidth="1"/>
    <col min="4104" max="4104" width="13.5703125" style="8" customWidth="1"/>
    <col min="4105" max="4105" width="7.5703125" style="8" customWidth="1"/>
    <col min="4106" max="4106" width="11.42578125" style="8"/>
    <col min="4107" max="4107" width="12" style="8" bestFit="1" customWidth="1"/>
    <col min="4108" max="4353" width="11.42578125" style="8"/>
    <col min="4354" max="4354" width="20.42578125" style="8" customWidth="1"/>
    <col min="4355" max="4355" width="6" style="8" customWidth="1"/>
    <col min="4356" max="4356" width="11.85546875" style="8" customWidth="1"/>
    <col min="4357" max="4357" width="12" style="8" customWidth="1"/>
    <col min="4358" max="4358" width="13.28515625" style="8" customWidth="1"/>
    <col min="4359" max="4359" width="11.7109375" style="8" customWidth="1"/>
    <col min="4360" max="4360" width="13.5703125" style="8" customWidth="1"/>
    <col min="4361" max="4361" width="7.5703125" style="8" customWidth="1"/>
    <col min="4362" max="4362" width="11.42578125" style="8"/>
    <col min="4363" max="4363" width="12" style="8" bestFit="1" customWidth="1"/>
    <col min="4364" max="4609" width="11.42578125" style="8"/>
    <col min="4610" max="4610" width="20.42578125" style="8" customWidth="1"/>
    <col min="4611" max="4611" width="6" style="8" customWidth="1"/>
    <col min="4612" max="4612" width="11.85546875" style="8" customWidth="1"/>
    <col min="4613" max="4613" width="12" style="8" customWidth="1"/>
    <col min="4614" max="4614" width="13.28515625" style="8" customWidth="1"/>
    <col min="4615" max="4615" width="11.7109375" style="8" customWidth="1"/>
    <col min="4616" max="4616" width="13.5703125" style="8" customWidth="1"/>
    <col min="4617" max="4617" width="7.5703125" style="8" customWidth="1"/>
    <col min="4618" max="4618" width="11.42578125" style="8"/>
    <col min="4619" max="4619" width="12" style="8" bestFit="1" customWidth="1"/>
    <col min="4620" max="4865" width="11.42578125" style="8"/>
    <col min="4866" max="4866" width="20.42578125" style="8" customWidth="1"/>
    <col min="4867" max="4867" width="6" style="8" customWidth="1"/>
    <col min="4868" max="4868" width="11.85546875" style="8" customWidth="1"/>
    <col min="4869" max="4869" width="12" style="8" customWidth="1"/>
    <col min="4870" max="4870" width="13.28515625" style="8" customWidth="1"/>
    <col min="4871" max="4871" width="11.7109375" style="8" customWidth="1"/>
    <col min="4872" max="4872" width="13.5703125" style="8" customWidth="1"/>
    <col min="4873" max="4873" width="7.5703125" style="8" customWidth="1"/>
    <col min="4874" max="4874" width="11.42578125" style="8"/>
    <col min="4875" max="4875" width="12" style="8" bestFit="1" customWidth="1"/>
    <col min="4876" max="5121" width="11.42578125" style="8"/>
    <col min="5122" max="5122" width="20.42578125" style="8" customWidth="1"/>
    <col min="5123" max="5123" width="6" style="8" customWidth="1"/>
    <col min="5124" max="5124" width="11.85546875" style="8" customWidth="1"/>
    <col min="5125" max="5125" width="12" style="8" customWidth="1"/>
    <col min="5126" max="5126" width="13.28515625" style="8" customWidth="1"/>
    <col min="5127" max="5127" width="11.7109375" style="8" customWidth="1"/>
    <col min="5128" max="5128" width="13.5703125" style="8" customWidth="1"/>
    <col min="5129" max="5129" width="7.5703125" style="8" customWidth="1"/>
    <col min="5130" max="5130" width="11.42578125" style="8"/>
    <col min="5131" max="5131" width="12" style="8" bestFit="1" customWidth="1"/>
    <col min="5132" max="5377" width="11.42578125" style="8"/>
    <col min="5378" max="5378" width="20.42578125" style="8" customWidth="1"/>
    <col min="5379" max="5379" width="6" style="8" customWidth="1"/>
    <col min="5380" max="5380" width="11.85546875" style="8" customWidth="1"/>
    <col min="5381" max="5381" width="12" style="8" customWidth="1"/>
    <col min="5382" max="5382" width="13.28515625" style="8" customWidth="1"/>
    <col min="5383" max="5383" width="11.7109375" style="8" customWidth="1"/>
    <col min="5384" max="5384" width="13.5703125" style="8" customWidth="1"/>
    <col min="5385" max="5385" width="7.5703125" style="8" customWidth="1"/>
    <col min="5386" max="5386" width="11.42578125" style="8"/>
    <col min="5387" max="5387" width="12" style="8" bestFit="1" customWidth="1"/>
    <col min="5388" max="5633" width="11.42578125" style="8"/>
    <col min="5634" max="5634" width="20.42578125" style="8" customWidth="1"/>
    <col min="5635" max="5635" width="6" style="8" customWidth="1"/>
    <col min="5636" max="5636" width="11.85546875" style="8" customWidth="1"/>
    <col min="5637" max="5637" width="12" style="8" customWidth="1"/>
    <col min="5638" max="5638" width="13.28515625" style="8" customWidth="1"/>
    <col min="5639" max="5639" width="11.7109375" style="8" customWidth="1"/>
    <col min="5640" max="5640" width="13.5703125" style="8" customWidth="1"/>
    <col min="5641" max="5641" width="7.5703125" style="8" customWidth="1"/>
    <col min="5642" max="5642" width="11.42578125" style="8"/>
    <col min="5643" max="5643" width="12" style="8" bestFit="1" customWidth="1"/>
    <col min="5644" max="5889" width="11.42578125" style="8"/>
    <col min="5890" max="5890" width="20.42578125" style="8" customWidth="1"/>
    <col min="5891" max="5891" width="6" style="8" customWidth="1"/>
    <col min="5892" max="5892" width="11.85546875" style="8" customWidth="1"/>
    <col min="5893" max="5893" width="12" style="8" customWidth="1"/>
    <col min="5894" max="5894" width="13.28515625" style="8" customWidth="1"/>
    <col min="5895" max="5895" width="11.7109375" style="8" customWidth="1"/>
    <col min="5896" max="5896" width="13.5703125" style="8" customWidth="1"/>
    <col min="5897" max="5897" width="7.5703125" style="8" customWidth="1"/>
    <col min="5898" max="5898" width="11.42578125" style="8"/>
    <col min="5899" max="5899" width="12" style="8" bestFit="1" customWidth="1"/>
    <col min="5900" max="6145" width="11.42578125" style="8"/>
    <col min="6146" max="6146" width="20.42578125" style="8" customWidth="1"/>
    <col min="6147" max="6147" width="6" style="8" customWidth="1"/>
    <col min="6148" max="6148" width="11.85546875" style="8" customWidth="1"/>
    <col min="6149" max="6149" width="12" style="8" customWidth="1"/>
    <col min="6150" max="6150" width="13.28515625" style="8" customWidth="1"/>
    <col min="6151" max="6151" width="11.7109375" style="8" customWidth="1"/>
    <col min="6152" max="6152" width="13.5703125" style="8" customWidth="1"/>
    <col min="6153" max="6153" width="7.5703125" style="8" customWidth="1"/>
    <col min="6154" max="6154" width="11.42578125" style="8"/>
    <col min="6155" max="6155" width="12" style="8" bestFit="1" customWidth="1"/>
    <col min="6156" max="6401" width="11.42578125" style="8"/>
    <col min="6402" max="6402" width="20.42578125" style="8" customWidth="1"/>
    <col min="6403" max="6403" width="6" style="8" customWidth="1"/>
    <col min="6404" max="6404" width="11.85546875" style="8" customWidth="1"/>
    <col min="6405" max="6405" width="12" style="8" customWidth="1"/>
    <col min="6406" max="6406" width="13.28515625" style="8" customWidth="1"/>
    <col min="6407" max="6407" width="11.7109375" style="8" customWidth="1"/>
    <col min="6408" max="6408" width="13.5703125" style="8" customWidth="1"/>
    <col min="6409" max="6409" width="7.5703125" style="8" customWidth="1"/>
    <col min="6410" max="6410" width="11.42578125" style="8"/>
    <col min="6411" max="6411" width="12" style="8" bestFit="1" customWidth="1"/>
    <col min="6412" max="6657" width="11.42578125" style="8"/>
    <col min="6658" max="6658" width="20.42578125" style="8" customWidth="1"/>
    <col min="6659" max="6659" width="6" style="8" customWidth="1"/>
    <col min="6660" max="6660" width="11.85546875" style="8" customWidth="1"/>
    <col min="6661" max="6661" width="12" style="8" customWidth="1"/>
    <col min="6662" max="6662" width="13.28515625" style="8" customWidth="1"/>
    <col min="6663" max="6663" width="11.7109375" style="8" customWidth="1"/>
    <col min="6664" max="6664" width="13.5703125" style="8" customWidth="1"/>
    <col min="6665" max="6665" width="7.5703125" style="8" customWidth="1"/>
    <col min="6666" max="6666" width="11.42578125" style="8"/>
    <col min="6667" max="6667" width="12" style="8" bestFit="1" customWidth="1"/>
    <col min="6668" max="6913" width="11.42578125" style="8"/>
    <col min="6914" max="6914" width="20.42578125" style="8" customWidth="1"/>
    <col min="6915" max="6915" width="6" style="8" customWidth="1"/>
    <col min="6916" max="6916" width="11.85546875" style="8" customWidth="1"/>
    <col min="6917" max="6917" width="12" style="8" customWidth="1"/>
    <col min="6918" max="6918" width="13.28515625" style="8" customWidth="1"/>
    <col min="6919" max="6919" width="11.7109375" style="8" customWidth="1"/>
    <col min="6920" max="6920" width="13.5703125" style="8" customWidth="1"/>
    <col min="6921" max="6921" width="7.5703125" style="8" customWidth="1"/>
    <col min="6922" max="6922" width="11.42578125" style="8"/>
    <col min="6923" max="6923" width="12" style="8" bestFit="1" customWidth="1"/>
    <col min="6924" max="7169" width="11.42578125" style="8"/>
    <col min="7170" max="7170" width="20.42578125" style="8" customWidth="1"/>
    <col min="7171" max="7171" width="6" style="8" customWidth="1"/>
    <col min="7172" max="7172" width="11.85546875" style="8" customWidth="1"/>
    <col min="7173" max="7173" width="12" style="8" customWidth="1"/>
    <col min="7174" max="7174" width="13.28515625" style="8" customWidth="1"/>
    <col min="7175" max="7175" width="11.7109375" style="8" customWidth="1"/>
    <col min="7176" max="7176" width="13.5703125" style="8" customWidth="1"/>
    <col min="7177" max="7177" width="7.5703125" style="8" customWidth="1"/>
    <col min="7178" max="7178" width="11.42578125" style="8"/>
    <col min="7179" max="7179" width="12" style="8" bestFit="1" customWidth="1"/>
    <col min="7180" max="7425" width="11.42578125" style="8"/>
    <col min="7426" max="7426" width="20.42578125" style="8" customWidth="1"/>
    <col min="7427" max="7427" width="6" style="8" customWidth="1"/>
    <col min="7428" max="7428" width="11.85546875" style="8" customWidth="1"/>
    <col min="7429" max="7429" width="12" style="8" customWidth="1"/>
    <col min="7430" max="7430" width="13.28515625" style="8" customWidth="1"/>
    <col min="7431" max="7431" width="11.7109375" style="8" customWidth="1"/>
    <col min="7432" max="7432" width="13.5703125" style="8" customWidth="1"/>
    <col min="7433" max="7433" width="7.5703125" style="8" customWidth="1"/>
    <col min="7434" max="7434" width="11.42578125" style="8"/>
    <col min="7435" max="7435" width="12" style="8" bestFit="1" customWidth="1"/>
    <col min="7436" max="7681" width="11.42578125" style="8"/>
    <col min="7682" max="7682" width="20.42578125" style="8" customWidth="1"/>
    <col min="7683" max="7683" width="6" style="8" customWidth="1"/>
    <col min="7684" max="7684" width="11.85546875" style="8" customWidth="1"/>
    <col min="7685" max="7685" width="12" style="8" customWidth="1"/>
    <col min="7686" max="7686" width="13.28515625" style="8" customWidth="1"/>
    <col min="7687" max="7687" width="11.7109375" style="8" customWidth="1"/>
    <col min="7688" max="7688" width="13.5703125" style="8" customWidth="1"/>
    <col min="7689" max="7689" width="7.5703125" style="8" customWidth="1"/>
    <col min="7690" max="7690" width="11.42578125" style="8"/>
    <col min="7691" max="7691" width="12" style="8" bestFit="1" customWidth="1"/>
    <col min="7692" max="7937" width="11.42578125" style="8"/>
    <col min="7938" max="7938" width="20.42578125" style="8" customWidth="1"/>
    <col min="7939" max="7939" width="6" style="8" customWidth="1"/>
    <col min="7940" max="7940" width="11.85546875" style="8" customWidth="1"/>
    <col min="7941" max="7941" width="12" style="8" customWidth="1"/>
    <col min="7942" max="7942" width="13.28515625" style="8" customWidth="1"/>
    <col min="7943" max="7943" width="11.7109375" style="8" customWidth="1"/>
    <col min="7944" max="7944" width="13.5703125" style="8" customWidth="1"/>
    <col min="7945" max="7945" width="7.5703125" style="8" customWidth="1"/>
    <col min="7946" max="7946" width="11.42578125" style="8"/>
    <col min="7947" max="7947" width="12" style="8" bestFit="1" customWidth="1"/>
    <col min="7948" max="8193" width="11.42578125" style="8"/>
    <col min="8194" max="8194" width="20.42578125" style="8" customWidth="1"/>
    <col min="8195" max="8195" width="6" style="8" customWidth="1"/>
    <col min="8196" max="8196" width="11.85546875" style="8" customWidth="1"/>
    <col min="8197" max="8197" width="12" style="8" customWidth="1"/>
    <col min="8198" max="8198" width="13.28515625" style="8" customWidth="1"/>
    <col min="8199" max="8199" width="11.7109375" style="8" customWidth="1"/>
    <col min="8200" max="8200" width="13.5703125" style="8" customWidth="1"/>
    <col min="8201" max="8201" width="7.5703125" style="8" customWidth="1"/>
    <col min="8202" max="8202" width="11.42578125" style="8"/>
    <col min="8203" max="8203" width="12" style="8" bestFit="1" customWidth="1"/>
    <col min="8204" max="8449" width="11.42578125" style="8"/>
    <col min="8450" max="8450" width="20.42578125" style="8" customWidth="1"/>
    <col min="8451" max="8451" width="6" style="8" customWidth="1"/>
    <col min="8452" max="8452" width="11.85546875" style="8" customWidth="1"/>
    <col min="8453" max="8453" width="12" style="8" customWidth="1"/>
    <col min="8454" max="8454" width="13.28515625" style="8" customWidth="1"/>
    <col min="8455" max="8455" width="11.7109375" style="8" customWidth="1"/>
    <col min="8456" max="8456" width="13.5703125" style="8" customWidth="1"/>
    <col min="8457" max="8457" width="7.5703125" style="8" customWidth="1"/>
    <col min="8458" max="8458" width="11.42578125" style="8"/>
    <col min="8459" max="8459" width="12" style="8" bestFit="1" customWidth="1"/>
    <col min="8460" max="8705" width="11.42578125" style="8"/>
    <col min="8706" max="8706" width="20.42578125" style="8" customWidth="1"/>
    <col min="8707" max="8707" width="6" style="8" customWidth="1"/>
    <col min="8708" max="8708" width="11.85546875" style="8" customWidth="1"/>
    <col min="8709" max="8709" width="12" style="8" customWidth="1"/>
    <col min="8710" max="8710" width="13.28515625" style="8" customWidth="1"/>
    <col min="8711" max="8711" width="11.7109375" style="8" customWidth="1"/>
    <col min="8712" max="8712" width="13.5703125" style="8" customWidth="1"/>
    <col min="8713" max="8713" width="7.5703125" style="8" customWidth="1"/>
    <col min="8714" max="8714" width="11.42578125" style="8"/>
    <col min="8715" max="8715" width="12" style="8" bestFit="1" customWidth="1"/>
    <col min="8716" max="8961" width="11.42578125" style="8"/>
    <col min="8962" max="8962" width="20.42578125" style="8" customWidth="1"/>
    <col min="8963" max="8963" width="6" style="8" customWidth="1"/>
    <col min="8964" max="8964" width="11.85546875" style="8" customWidth="1"/>
    <col min="8965" max="8965" width="12" style="8" customWidth="1"/>
    <col min="8966" max="8966" width="13.28515625" style="8" customWidth="1"/>
    <col min="8967" max="8967" width="11.7109375" style="8" customWidth="1"/>
    <col min="8968" max="8968" width="13.5703125" style="8" customWidth="1"/>
    <col min="8969" max="8969" width="7.5703125" style="8" customWidth="1"/>
    <col min="8970" max="8970" width="11.42578125" style="8"/>
    <col min="8971" max="8971" width="12" style="8" bestFit="1" customWidth="1"/>
    <col min="8972" max="9217" width="11.42578125" style="8"/>
    <col min="9218" max="9218" width="20.42578125" style="8" customWidth="1"/>
    <col min="9219" max="9219" width="6" style="8" customWidth="1"/>
    <col min="9220" max="9220" width="11.85546875" style="8" customWidth="1"/>
    <col min="9221" max="9221" width="12" style="8" customWidth="1"/>
    <col min="9222" max="9222" width="13.28515625" style="8" customWidth="1"/>
    <col min="9223" max="9223" width="11.7109375" style="8" customWidth="1"/>
    <col min="9224" max="9224" width="13.5703125" style="8" customWidth="1"/>
    <col min="9225" max="9225" width="7.5703125" style="8" customWidth="1"/>
    <col min="9226" max="9226" width="11.42578125" style="8"/>
    <col min="9227" max="9227" width="12" style="8" bestFit="1" customWidth="1"/>
    <col min="9228" max="9473" width="11.42578125" style="8"/>
    <col min="9474" max="9474" width="20.42578125" style="8" customWidth="1"/>
    <col min="9475" max="9475" width="6" style="8" customWidth="1"/>
    <col min="9476" max="9476" width="11.85546875" style="8" customWidth="1"/>
    <col min="9477" max="9477" width="12" style="8" customWidth="1"/>
    <col min="9478" max="9478" width="13.28515625" style="8" customWidth="1"/>
    <col min="9479" max="9479" width="11.7109375" style="8" customWidth="1"/>
    <col min="9480" max="9480" width="13.5703125" style="8" customWidth="1"/>
    <col min="9481" max="9481" width="7.5703125" style="8" customWidth="1"/>
    <col min="9482" max="9482" width="11.42578125" style="8"/>
    <col min="9483" max="9483" width="12" style="8" bestFit="1" customWidth="1"/>
    <col min="9484" max="9729" width="11.42578125" style="8"/>
    <col min="9730" max="9730" width="20.42578125" style="8" customWidth="1"/>
    <col min="9731" max="9731" width="6" style="8" customWidth="1"/>
    <col min="9732" max="9732" width="11.85546875" style="8" customWidth="1"/>
    <col min="9733" max="9733" width="12" style="8" customWidth="1"/>
    <col min="9734" max="9734" width="13.28515625" style="8" customWidth="1"/>
    <col min="9735" max="9735" width="11.7109375" style="8" customWidth="1"/>
    <col min="9736" max="9736" width="13.5703125" style="8" customWidth="1"/>
    <col min="9737" max="9737" width="7.5703125" style="8" customWidth="1"/>
    <col min="9738" max="9738" width="11.42578125" style="8"/>
    <col min="9739" max="9739" width="12" style="8" bestFit="1" customWidth="1"/>
    <col min="9740" max="9985" width="11.42578125" style="8"/>
    <col min="9986" max="9986" width="20.42578125" style="8" customWidth="1"/>
    <col min="9987" max="9987" width="6" style="8" customWidth="1"/>
    <col min="9988" max="9988" width="11.85546875" style="8" customWidth="1"/>
    <col min="9989" max="9989" width="12" style="8" customWidth="1"/>
    <col min="9990" max="9990" width="13.28515625" style="8" customWidth="1"/>
    <col min="9991" max="9991" width="11.7109375" style="8" customWidth="1"/>
    <col min="9992" max="9992" width="13.5703125" style="8" customWidth="1"/>
    <col min="9993" max="9993" width="7.5703125" style="8" customWidth="1"/>
    <col min="9994" max="9994" width="11.42578125" style="8"/>
    <col min="9995" max="9995" width="12" style="8" bestFit="1" customWidth="1"/>
    <col min="9996" max="10241" width="11.42578125" style="8"/>
    <col min="10242" max="10242" width="20.42578125" style="8" customWidth="1"/>
    <col min="10243" max="10243" width="6" style="8" customWidth="1"/>
    <col min="10244" max="10244" width="11.85546875" style="8" customWidth="1"/>
    <col min="10245" max="10245" width="12" style="8" customWidth="1"/>
    <col min="10246" max="10246" width="13.28515625" style="8" customWidth="1"/>
    <col min="10247" max="10247" width="11.7109375" style="8" customWidth="1"/>
    <col min="10248" max="10248" width="13.5703125" style="8" customWidth="1"/>
    <col min="10249" max="10249" width="7.5703125" style="8" customWidth="1"/>
    <col min="10250" max="10250" width="11.42578125" style="8"/>
    <col min="10251" max="10251" width="12" style="8" bestFit="1" customWidth="1"/>
    <col min="10252" max="10497" width="11.42578125" style="8"/>
    <col min="10498" max="10498" width="20.42578125" style="8" customWidth="1"/>
    <col min="10499" max="10499" width="6" style="8" customWidth="1"/>
    <col min="10500" max="10500" width="11.85546875" style="8" customWidth="1"/>
    <col min="10501" max="10501" width="12" style="8" customWidth="1"/>
    <col min="10502" max="10502" width="13.28515625" style="8" customWidth="1"/>
    <col min="10503" max="10503" width="11.7109375" style="8" customWidth="1"/>
    <col min="10504" max="10504" width="13.5703125" style="8" customWidth="1"/>
    <col min="10505" max="10505" width="7.5703125" style="8" customWidth="1"/>
    <col min="10506" max="10506" width="11.42578125" style="8"/>
    <col min="10507" max="10507" width="12" style="8" bestFit="1" customWidth="1"/>
    <col min="10508" max="10753" width="11.42578125" style="8"/>
    <col min="10754" max="10754" width="20.42578125" style="8" customWidth="1"/>
    <col min="10755" max="10755" width="6" style="8" customWidth="1"/>
    <col min="10756" max="10756" width="11.85546875" style="8" customWidth="1"/>
    <col min="10757" max="10757" width="12" style="8" customWidth="1"/>
    <col min="10758" max="10758" width="13.28515625" style="8" customWidth="1"/>
    <col min="10759" max="10759" width="11.7109375" style="8" customWidth="1"/>
    <col min="10760" max="10760" width="13.5703125" style="8" customWidth="1"/>
    <col min="10761" max="10761" width="7.5703125" style="8" customWidth="1"/>
    <col min="10762" max="10762" width="11.42578125" style="8"/>
    <col min="10763" max="10763" width="12" style="8" bestFit="1" customWidth="1"/>
    <col min="10764" max="11009" width="11.42578125" style="8"/>
    <col min="11010" max="11010" width="20.42578125" style="8" customWidth="1"/>
    <col min="11011" max="11011" width="6" style="8" customWidth="1"/>
    <col min="11012" max="11012" width="11.85546875" style="8" customWidth="1"/>
    <col min="11013" max="11013" width="12" style="8" customWidth="1"/>
    <col min="11014" max="11014" width="13.28515625" style="8" customWidth="1"/>
    <col min="11015" max="11015" width="11.7109375" style="8" customWidth="1"/>
    <col min="11016" max="11016" width="13.5703125" style="8" customWidth="1"/>
    <col min="11017" max="11017" width="7.5703125" style="8" customWidth="1"/>
    <col min="11018" max="11018" width="11.42578125" style="8"/>
    <col min="11019" max="11019" width="12" style="8" bestFit="1" customWidth="1"/>
    <col min="11020" max="11265" width="11.42578125" style="8"/>
    <col min="11266" max="11266" width="20.42578125" style="8" customWidth="1"/>
    <col min="11267" max="11267" width="6" style="8" customWidth="1"/>
    <col min="11268" max="11268" width="11.85546875" style="8" customWidth="1"/>
    <col min="11269" max="11269" width="12" style="8" customWidth="1"/>
    <col min="11270" max="11270" width="13.28515625" style="8" customWidth="1"/>
    <col min="11271" max="11271" width="11.7109375" style="8" customWidth="1"/>
    <col min="11272" max="11272" width="13.5703125" style="8" customWidth="1"/>
    <col min="11273" max="11273" width="7.5703125" style="8" customWidth="1"/>
    <col min="11274" max="11274" width="11.42578125" style="8"/>
    <col min="11275" max="11275" width="12" style="8" bestFit="1" customWidth="1"/>
    <col min="11276" max="11521" width="11.42578125" style="8"/>
    <col min="11522" max="11522" width="20.42578125" style="8" customWidth="1"/>
    <col min="11523" max="11523" width="6" style="8" customWidth="1"/>
    <col min="11524" max="11524" width="11.85546875" style="8" customWidth="1"/>
    <col min="11525" max="11525" width="12" style="8" customWidth="1"/>
    <col min="11526" max="11526" width="13.28515625" style="8" customWidth="1"/>
    <col min="11527" max="11527" width="11.7109375" style="8" customWidth="1"/>
    <col min="11528" max="11528" width="13.5703125" style="8" customWidth="1"/>
    <col min="11529" max="11529" width="7.5703125" style="8" customWidth="1"/>
    <col min="11530" max="11530" width="11.42578125" style="8"/>
    <col min="11531" max="11531" width="12" style="8" bestFit="1" customWidth="1"/>
    <col min="11532" max="11777" width="11.42578125" style="8"/>
    <col min="11778" max="11778" width="20.42578125" style="8" customWidth="1"/>
    <col min="11779" max="11779" width="6" style="8" customWidth="1"/>
    <col min="11780" max="11780" width="11.85546875" style="8" customWidth="1"/>
    <col min="11781" max="11781" width="12" style="8" customWidth="1"/>
    <col min="11782" max="11782" width="13.28515625" style="8" customWidth="1"/>
    <col min="11783" max="11783" width="11.7109375" style="8" customWidth="1"/>
    <col min="11784" max="11784" width="13.5703125" style="8" customWidth="1"/>
    <col min="11785" max="11785" width="7.5703125" style="8" customWidth="1"/>
    <col min="11786" max="11786" width="11.42578125" style="8"/>
    <col min="11787" max="11787" width="12" style="8" bestFit="1" customWidth="1"/>
    <col min="11788" max="12033" width="11.42578125" style="8"/>
    <col min="12034" max="12034" width="20.42578125" style="8" customWidth="1"/>
    <col min="12035" max="12035" width="6" style="8" customWidth="1"/>
    <col min="12036" max="12036" width="11.85546875" style="8" customWidth="1"/>
    <col min="12037" max="12037" width="12" style="8" customWidth="1"/>
    <col min="12038" max="12038" width="13.28515625" style="8" customWidth="1"/>
    <col min="12039" max="12039" width="11.7109375" style="8" customWidth="1"/>
    <col min="12040" max="12040" width="13.5703125" style="8" customWidth="1"/>
    <col min="12041" max="12041" width="7.5703125" style="8" customWidth="1"/>
    <col min="12042" max="12042" width="11.42578125" style="8"/>
    <col min="12043" max="12043" width="12" style="8" bestFit="1" customWidth="1"/>
    <col min="12044" max="12289" width="11.42578125" style="8"/>
    <col min="12290" max="12290" width="20.42578125" style="8" customWidth="1"/>
    <col min="12291" max="12291" width="6" style="8" customWidth="1"/>
    <col min="12292" max="12292" width="11.85546875" style="8" customWidth="1"/>
    <col min="12293" max="12293" width="12" style="8" customWidth="1"/>
    <col min="12294" max="12294" width="13.28515625" style="8" customWidth="1"/>
    <col min="12295" max="12295" width="11.7109375" style="8" customWidth="1"/>
    <col min="12296" max="12296" width="13.5703125" style="8" customWidth="1"/>
    <col min="12297" max="12297" width="7.5703125" style="8" customWidth="1"/>
    <col min="12298" max="12298" width="11.42578125" style="8"/>
    <col min="12299" max="12299" width="12" style="8" bestFit="1" customWidth="1"/>
    <col min="12300" max="12545" width="11.42578125" style="8"/>
    <col min="12546" max="12546" width="20.42578125" style="8" customWidth="1"/>
    <col min="12547" max="12547" width="6" style="8" customWidth="1"/>
    <col min="12548" max="12548" width="11.85546875" style="8" customWidth="1"/>
    <col min="12549" max="12549" width="12" style="8" customWidth="1"/>
    <col min="12550" max="12550" width="13.28515625" style="8" customWidth="1"/>
    <col min="12551" max="12551" width="11.7109375" style="8" customWidth="1"/>
    <col min="12552" max="12552" width="13.5703125" style="8" customWidth="1"/>
    <col min="12553" max="12553" width="7.5703125" style="8" customWidth="1"/>
    <col min="12554" max="12554" width="11.42578125" style="8"/>
    <col min="12555" max="12555" width="12" style="8" bestFit="1" customWidth="1"/>
    <col min="12556" max="12801" width="11.42578125" style="8"/>
    <col min="12802" max="12802" width="20.42578125" style="8" customWidth="1"/>
    <col min="12803" max="12803" width="6" style="8" customWidth="1"/>
    <col min="12804" max="12804" width="11.85546875" style="8" customWidth="1"/>
    <col min="12805" max="12805" width="12" style="8" customWidth="1"/>
    <col min="12806" max="12806" width="13.28515625" style="8" customWidth="1"/>
    <col min="12807" max="12807" width="11.7109375" style="8" customWidth="1"/>
    <col min="12808" max="12808" width="13.5703125" style="8" customWidth="1"/>
    <col min="12809" max="12809" width="7.5703125" style="8" customWidth="1"/>
    <col min="12810" max="12810" width="11.42578125" style="8"/>
    <col min="12811" max="12811" width="12" style="8" bestFit="1" customWidth="1"/>
    <col min="12812" max="13057" width="11.42578125" style="8"/>
    <col min="13058" max="13058" width="20.42578125" style="8" customWidth="1"/>
    <col min="13059" max="13059" width="6" style="8" customWidth="1"/>
    <col min="13060" max="13060" width="11.85546875" style="8" customWidth="1"/>
    <col min="13061" max="13061" width="12" style="8" customWidth="1"/>
    <col min="13062" max="13062" width="13.28515625" style="8" customWidth="1"/>
    <col min="13063" max="13063" width="11.7109375" style="8" customWidth="1"/>
    <col min="13064" max="13064" width="13.5703125" style="8" customWidth="1"/>
    <col min="13065" max="13065" width="7.5703125" style="8" customWidth="1"/>
    <col min="13066" max="13066" width="11.42578125" style="8"/>
    <col min="13067" max="13067" width="12" style="8" bestFit="1" customWidth="1"/>
    <col min="13068" max="13313" width="11.42578125" style="8"/>
    <col min="13314" max="13314" width="20.42578125" style="8" customWidth="1"/>
    <col min="13315" max="13315" width="6" style="8" customWidth="1"/>
    <col min="13316" max="13316" width="11.85546875" style="8" customWidth="1"/>
    <col min="13317" max="13317" width="12" style="8" customWidth="1"/>
    <col min="13318" max="13318" width="13.28515625" style="8" customWidth="1"/>
    <col min="13319" max="13319" width="11.7109375" style="8" customWidth="1"/>
    <col min="13320" max="13320" width="13.5703125" style="8" customWidth="1"/>
    <col min="13321" max="13321" width="7.5703125" style="8" customWidth="1"/>
    <col min="13322" max="13322" width="11.42578125" style="8"/>
    <col min="13323" max="13323" width="12" style="8" bestFit="1" customWidth="1"/>
    <col min="13324" max="13569" width="11.42578125" style="8"/>
    <col min="13570" max="13570" width="20.42578125" style="8" customWidth="1"/>
    <col min="13571" max="13571" width="6" style="8" customWidth="1"/>
    <col min="13572" max="13572" width="11.85546875" style="8" customWidth="1"/>
    <col min="13573" max="13573" width="12" style="8" customWidth="1"/>
    <col min="13574" max="13574" width="13.28515625" style="8" customWidth="1"/>
    <col min="13575" max="13575" width="11.7109375" style="8" customWidth="1"/>
    <col min="13576" max="13576" width="13.5703125" style="8" customWidth="1"/>
    <col min="13577" max="13577" width="7.5703125" style="8" customWidth="1"/>
    <col min="13578" max="13578" width="11.42578125" style="8"/>
    <col min="13579" max="13579" width="12" style="8" bestFit="1" customWidth="1"/>
    <col min="13580" max="13825" width="11.42578125" style="8"/>
    <col min="13826" max="13826" width="20.42578125" style="8" customWidth="1"/>
    <col min="13827" max="13827" width="6" style="8" customWidth="1"/>
    <col min="13828" max="13828" width="11.85546875" style="8" customWidth="1"/>
    <col min="13829" max="13829" width="12" style="8" customWidth="1"/>
    <col min="13830" max="13830" width="13.28515625" style="8" customWidth="1"/>
    <col min="13831" max="13831" width="11.7109375" style="8" customWidth="1"/>
    <col min="13832" max="13832" width="13.5703125" style="8" customWidth="1"/>
    <col min="13833" max="13833" width="7.5703125" style="8" customWidth="1"/>
    <col min="13834" max="13834" width="11.42578125" style="8"/>
    <col min="13835" max="13835" width="12" style="8" bestFit="1" customWidth="1"/>
    <col min="13836" max="14081" width="11.42578125" style="8"/>
    <col min="14082" max="14082" width="20.42578125" style="8" customWidth="1"/>
    <col min="14083" max="14083" width="6" style="8" customWidth="1"/>
    <col min="14084" max="14084" width="11.85546875" style="8" customWidth="1"/>
    <col min="14085" max="14085" width="12" style="8" customWidth="1"/>
    <col min="14086" max="14086" width="13.28515625" style="8" customWidth="1"/>
    <col min="14087" max="14087" width="11.7109375" style="8" customWidth="1"/>
    <col min="14088" max="14088" width="13.5703125" style="8" customWidth="1"/>
    <col min="14089" max="14089" width="7.5703125" style="8" customWidth="1"/>
    <col min="14090" max="14090" width="11.42578125" style="8"/>
    <col min="14091" max="14091" width="12" style="8" bestFit="1" customWidth="1"/>
    <col min="14092" max="14337" width="11.42578125" style="8"/>
    <col min="14338" max="14338" width="20.42578125" style="8" customWidth="1"/>
    <col min="14339" max="14339" width="6" style="8" customWidth="1"/>
    <col min="14340" max="14340" width="11.85546875" style="8" customWidth="1"/>
    <col min="14341" max="14341" width="12" style="8" customWidth="1"/>
    <col min="14342" max="14342" width="13.28515625" style="8" customWidth="1"/>
    <col min="14343" max="14343" width="11.7109375" style="8" customWidth="1"/>
    <col min="14344" max="14344" width="13.5703125" style="8" customWidth="1"/>
    <col min="14345" max="14345" width="7.5703125" style="8" customWidth="1"/>
    <col min="14346" max="14346" width="11.42578125" style="8"/>
    <col min="14347" max="14347" width="12" style="8" bestFit="1" customWidth="1"/>
    <col min="14348" max="14593" width="11.42578125" style="8"/>
    <col min="14594" max="14594" width="20.42578125" style="8" customWidth="1"/>
    <col min="14595" max="14595" width="6" style="8" customWidth="1"/>
    <col min="14596" max="14596" width="11.85546875" style="8" customWidth="1"/>
    <col min="14597" max="14597" width="12" style="8" customWidth="1"/>
    <col min="14598" max="14598" width="13.28515625" style="8" customWidth="1"/>
    <col min="14599" max="14599" width="11.7109375" style="8" customWidth="1"/>
    <col min="14600" max="14600" width="13.5703125" style="8" customWidth="1"/>
    <col min="14601" max="14601" width="7.5703125" style="8" customWidth="1"/>
    <col min="14602" max="14602" width="11.42578125" style="8"/>
    <col min="14603" max="14603" width="12" style="8" bestFit="1" customWidth="1"/>
    <col min="14604" max="14849" width="11.42578125" style="8"/>
    <col min="14850" max="14850" width="20.42578125" style="8" customWidth="1"/>
    <col min="14851" max="14851" width="6" style="8" customWidth="1"/>
    <col min="14852" max="14852" width="11.85546875" style="8" customWidth="1"/>
    <col min="14853" max="14853" width="12" style="8" customWidth="1"/>
    <col min="14854" max="14854" width="13.28515625" style="8" customWidth="1"/>
    <col min="14855" max="14855" width="11.7109375" style="8" customWidth="1"/>
    <col min="14856" max="14856" width="13.5703125" style="8" customWidth="1"/>
    <col min="14857" max="14857" width="7.5703125" style="8" customWidth="1"/>
    <col min="14858" max="14858" width="11.42578125" style="8"/>
    <col min="14859" max="14859" width="12" style="8" bestFit="1" customWidth="1"/>
    <col min="14860" max="15105" width="11.42578125" style="8"/>
    <col min="15106" max="15106" width="20.42578125" style="8" customWidth="1"/>
    <col min="15107" max="15107" width="6" style="8" customWidth="1"/>
    <col min="15108" max="15108" width="11.85546875" style="8" customWidth="1"/>
    <col min="15109" max="15109" width="12" style="8" customWidth="1"/>
    <col min="15110" max="15110" width="13.28515625" style="8" customWidth="1"/>
    <col min="15111" max="15111" width="11.7109375" style="8" customWidth="1"/>
    <col min="15112" max="15112" width="13.5703125" style="8" customWidth="1"/>
    <col min="15113" max="15113" width="7.5703125" style="8" customWidth="1"/>
    <col min="15114" max="15114" width="11.42578125" style="8"/>
    <col min="15115" max="15115" width="12" style="8" bestFit="1" customWidth="1"/>
    <col min="15116" max="15361" width="11.42578125" style="8"/>
    <col min="15362" max="15362" width="20.42578125" style="8" customWidth="1"/>
    <col min="15363" max="15363" width="6" style="8" customWidth="1"/>
    <col min="15364" max="15364" width="11.85546875" style="8" customWidth="1"/>
    <col min="15365" max="15365" width="12" style="8" customWidth="1"/>
    <col min="15366" max="15366" width="13.28515625" style="8" customWidth="1"/>
    <col min="15367" max="15367" width="11.7109375" style="8" customWidth="1"/>
    <col min="15368" max="15368" width="13.5703125" style="8" customWidth="1"/>
    <col min="15369" max="15369" width="7.5703125" style="8" customWidth="1"/>
    <col min="15370" max="15370" width="11.42578125" style="8"/>
    <col min="15371" max="15371" width="12" style="8" bestFit="1" customWidth="1"/>
    <col min="15372" max="15617" width="11.42578125" style="8"/>
    <col min="15618" max="15618" width="20.42578125" style="8" customWidth="1"/>
    <col min="15619" max="15619" width="6" style="8" customWidth="1"/>
    <col min="15620" max="15620" width="11.85546875" style="8" customWidth="1"/>
    <col min="15621" max="15621" width="12" style="8" customWidth="1"/>
    <col min="15622" max="15622" width="13.28515625" style="8" customWidth="1"/>
    <col min="15623" max="15623" width="11.7109375" style="8" customWidth="1"/>
    <col min="15624" max="15624" width="13.5703125" style="8" customWidth="1"/>
    <col min="15625" max="15625" width="7.5703125" style="8" customWidth="1"/>
    <col min="15626" max="15626" width="11.42578125" style="8"/>
    <col min="15627" max="15627" width="12" style="8" bestFit="1" customWidth="1"/>
    <col min="15628" max="15873" width="11.42578125" style="8"/>
    <col min="15874" max="15874" width="20.42578125" style="8" customWidth="1"/>
    <col min="15875" max="15875" width="6" style="8" customWidth="1"/>
    <col min="15876" max="15876" width="11.85546875" style="8" customWidth="1"/>
    <col min="15877" max="15877" width="12" style="8" customWidth="1"/>
    <col min="15878" max="15878" width="13.28515625" style="8" customWidth="1"/>
    <col min="15879" max="15879" width="11.7109375" style="8" customWidth="1"/>
    <col min="15880" max="15880" width="13.5703125" style="8" customWidth="1"/>
    <col min="15881" max="15881" width="7.5703125" style="8" customWidth="1"/>
    <col min="15882" max="15882" width="11.42578125" style="8"/>
    <col min="15883" max="15883" width="12" style="8" bestFit="1" customWidth="1"/>
    <col min="15884" max="16129" width="11.42578125" style="8"/>
    <col min="16130" max="16130" width="20.42578125" style="8" customWidth="1"/>
    <col min="16131" max="16131" width="6" style="8" customWidth="1"/>
    <col min="16132" max="16132" width="11.85546875" style="8" customWidth="1"/>
    <col min="16133" max="16133" width="12" style="8" customWidth="1"/>
    <col min="16134" max="16134" width="13.28515625" style="8" customWidth="1"/>
    <col min="16135" max="16135" width="11.7109375" style="8" customWidth="1"/>
    <col min="16136" max="16136" width="13.5703125" style="8" customWidth="1"/>
    <col min="16137" max="16137" width="7.5703125" style="8" customWidth="1"/>
    <col min="16138" max="16138" width="11.42578125" style="8"/>
    <col min="16139" max="16139" width="12" style="8" bestFit="1" customWidth="1"/>
    <col min="16140" max="16384" width="11.42578125" style="8"/>
  </cols>
  <sheetData>
    <row r="1" spans="1:16" s="5" customFormat="1" ht="23.25" x14ac:dyDescent="0.35">
      <c r="A1" s="4" t="str">
        <f>Feuil3!C2</f>
        <v>Kostenberechnung für Destillate</v>
      </c>
      <c r="D1" s="6"/>
    </row>
    <row r="2" spans="1:16" s="5" customFormat="1" ht="18" x14ac:dyDescent="0.25">
      <c r="A2" s="7" t="str">
        <f>Feuil3!C3</f>
        <v>aus der Sicht als "Kleinproduzent" als Kunde beim Lohnbrenner</v>
      </c>
      <c r="D2" s="6"/>
    </row>
    <row r="3" spans="1:16" ht="36" customHeight="1" thickBot="1" x14ac:dyDescent="0.3">
      <c r="A3" s="75" t="s">
        <v>168</v>
      </c>
      <c r="B3" s="9" t="str">
        <f>Feuil3!H17</f>
        <v>Variable Grössen</v>
      </c>
      <c r="C3" s="10"/>
      <c r="D3" s="9" t="str">
        <f>Feuil3!J17</f>
        <v>Material Preise</v>
      </c>
      <c r="E3" s="11"/>
    </row>
    <row r="4" spans="1:16" ht="28.5" customHeight="1" thickBot="1" x14ac:dyDescent="0.3">
      <c r="A4" s="12" t="str">
        <f>Feuil3!C5</f>
        <v>Obstart</v>
      </c>
      <c r="B4" s="1" t="s">
        <v>140</v>
      </c>
      <c r="C4" s="13"/>
    </row>
    <row r="5" spans="1:16" ht="15.75" thickBot="1" x14ac:dyDescent="0.3">
      <c r="A5" s="12" t="str">
        <f>Feuil3!C6</f>
        <v>theoretische Ausbeute</v>
      </c>
      <c r="B5" s="100">
        <f>IF(B4='Rendement-Ausbeute'!C13,'Rendement-Ausbeute'!D13,IF(B4='Rendement-Ausbeute'!C1,'Rendement-Ausbeute'!D1,IF(B4='Rendement-Ausbeute'!C2,'Rendement-Ausbeute'!D2,IF(B4='Rendement-Ausbeute'!C3,'Rendement-Ausbeute'!D3,IF(B4='Rendement-Ausbeute'!C4,'Rendement-Ausbeute'!D4,IF(B4='Rendement-Ausbeute'!C5,'Rendement-Ausbeute'!D5,IF(B4='Rendement-Ausbeute'!C6,'Rendement-Ausbeute'!D6,IF(B4='Rendement-Ausbeute'!C7,'Rendement-Ausbeute'!D7,IF(B4='Rendement-Ausbeute'!C8,'Rendement-Ausbeute'!D8,IF(B4='Rendement-Ausbeute'!C9,'Rendement-Ausbeute'!D9,IF(B4='Rendement-Ausbeute'!C10,'Rendement-Ausbeute'!D10,IF(B4='Rendement-Ausbeute'!C11,'Rendement-Ausbeute'!D11,IF(B4='Rendement-Ausbeute'!C12,'Rendement-Ausbeute'!D12,IF(B4='Rendement-Ausbeute'!C14,'Rendement-Ausbeute'!D14,IF(B4='Rendement-Ausbeute'!C15,'Rendement-Ausbeute'!D15,IF(B4='Rendement-Ausbeute'!C16,'Rendement-Ausbeute'!D16,IF(B4='Rendement-Ausbeute'!C17,'Rendement-Ausbeute'!D17,IF(B4='Rendement-Ausbeute'!C18,'Rendement-Ausbeute'!D18,IF(B4='Rendement-Ausbeute'!C19,'Rendement-Ausbeute'!D19,IF(B4='Rendement-Ausbeute'!C20,'Rendement-Ausbeute'!D20,IF(B4='Rendement-Ausbeute'!C21,'Rendement-Ausbeute'!D21, IF(B4='Rendement-Ausbeute'!C22,'Rendement-Ausbeute'!D22))))))))))))))))))))))</f>
        <v>5</v>
      </c>
      <c r="C5" s="13" t="s">
        <v>4</v>
      </c>
    </row>
    <row r="6" spans="1:16" x14ac:dyDescent="0.25">
      <c r="A6" s="12" t="str">
        <f>Feuil3!C7</f>
        <v>Menge</v>
      </c>
      <c r="B6" s="2">
        <v>100</v>
      </c>
      <c r="C6" s="13" t="s">
        <v>30</v>
      </c>
    </row>
    <row r="7" spans="1:16" ht="15.75" x14ac:dyDescent="0.25">
      <c r="A7" s="12" t="str">
        <f>Feuil3!C8</f>
        <v>Preis für Verarbeitungsrohstoffe/kg</v>
      </c>
      <c r="B7" s="3">
        <v>0.4</v>
      </c>
      <c r="C7" s="13" t="s">
        <v>49</v>
      </c>
      <c r="N7" s="9"/>
      <c r="O7" s="9"/>
      <c r="P7" s="9"/>
    </row>
    <row r="8" spans="1:16" ht="15.75" x14ac:dyDescent="0.25">
      <c r="A8" s="12" t="str">
        <f>Feuil3!C9</f>
        <v>%vol trinkfertiges Destillat</v>
      </c>
      <c r="B8" s="69">
        <v>42</v>
      </c>
      <c r="C8" s="8" t="s">
        <v>4</v>
      </c>
      <c r="N8" s="9"/>
      <c r="O8" s="9"/>
      <c r="P8" s="9"/>
    </row>
    <row r="9" spans="1:16" ht="15.75" x14ac:dyDescent="0.25">
      <c r="A9" s="12" t="str">
        <f>Feuil3!C10</f>
        <v>Flaschen-Grösse</v>
      </c>
      <c r="B9" s="3">
        <v>0.5</v>
      </c>
      <c r="C9" s="8" t="s">
        <v>50</v>
      </c>
      <c r="G9" s="5" t="s">
        <v>137</v>
      </c>
      <c r="N9" s="9"/>
      <c r="O9" s="9"/>
      <c r="P9" s="9"/>
    </row>
    <row r="10" spans="1:16" ht="15.75" x14ac:dyDescent="0.25">
      <c r="A10" s="12" t="str">
        <f>Feuil3!C11</f>
        <v>Lohnansatz/Akh</v>
      </c>
      <c r="B10" s="3">
        <v>45</v>
      </c>
      <c r="C10" s="8" t="s">
        <v>49</v>
      </c>
      <c r="G10" s="9"/>
      <c r="H10" s="9"/>
      <c r="I10" s="9"/>
      <c r="N10" s="9"/>
      <c r="O10" s="9"/>
      <c r="P10" s="9"/>
    </row>
    <row r="11" spans="1:16" ht="15.75" x14ac:dyDescent="0.25">
      <c r="A11" s="12" t="str">
        <f>Feuil3!C12</f>
        <v>Brenn-Lohn</v>
      </c>
      <c r="B11" s="3">
        <v>12</v>
      </c>
      <c r="C11" s="8" t="s">
        <v>55</v>
      </c>
      <c r="G11" s="9"/>
      <c r="H11" s="9"/>
      <c r="I11" s="9"/>
      <c r="N11" s="9"/>
      <c r="O11" s="9"/>
      <c r="P11" s="9"/>
    </row>
    <row r="12" spans="1:16" ht="15.75" x14ac:dyDescent="0.25">
      <c r="A12" s="12" t="str">
        <f>Feuil3!C13</f>
        <v>Wegstrecke Betrieb-Brennerei</v>
      </c>
      <c r="B12" s="3">
        <v>60</v>
      </c>
      <c r="C12" s="8" t="s">
        <v>33</v>
      </c>
      <c r="G12" s="9"/>
      <c r="H12" s="9"/>
      <c r="I12" s="9"/>
      <c r="N12" s="9"/>
      <c r="O12" s="9"/>
      <c r="P12" s="9"/>
    </row>
    <row r="13" spans="1:16" ht="15.75" x14ac:dyDescent="0.25">
      <c r="A13" s="16" t="str">
        <f>Feuil3!C14</f>
        <v>geschätzter Zeitaufwand für Verkauf 1 Flasche</v>
      </c>
      <c r="B13" s="3">
        <v>1</v>
      </c>
      <c r="C13" s="8" t="s">
        <v>85</v>
      </c>
      <c r="G13" s="9"/>
      <c r="H13" s="9"/>
      <c r="I13" s="9"/>
      <c r="N13" s="9"/>
      <c r="O13" s="9"/>
      <c r="P13" s="9"/>
    </row>
    <row r="14" spans="1:16" ht="15.75" x14ac:dyDescent="0.25">
      <c r="A14" s="16" t="str">
        <f>Feuil3!C15</f>
        <v>MWST</v>
      </c>
      <c r="B14" s="99">
        <v>7.6999999999999999E-2</v>
      </c>
      <c r="G14" s="9"/>
      <c r="H14" s="9"/>
      <c r="I14" s="9"/>
      <c r="N14" s="9"/>
      <c r="O14" s="9"/>
      <c r="P14" s="9"/>
    </row>
    <row r="15" spans="1:16" ht="15.75" x14ac:dyDescent="0.25">
      <c r="A15" s="16" t="s">
        <v>177</v>
      </c>
      <c r="B15" s="3">
        <v>29</v>
      </c>
      <c r="C15" s="8" t="s">
        <v>49</v>
      </c>
      <c r="G15" s="9"/>
      <c r="H15" s="9"/>
      <c r="I15" s="9"/>
      <c r="N15" s="9"/>
      <c r="O15" s="9"/>
      <c r="P15" s="9"/>
    </row>
    <row r="16" spans="1:16" ht="27" thickBot="1" x14ac:dyDescent="0.3">
      <c r="A16" s="16" t="str">
        <f>Feuil3!C16</f>
        <v>Steuer-Rabatt für Kleinprodzenten 30% auf max. 30l RA</v>
      </c>
      <c r="B16" s="70" t="s">
        <v>90</v>
      </c>
      <c r="G16" s="9"/>
      <c r="H16" s="9"/>
      <c r="I16" s="9"/>
      <c r="N16" s="9"/>
      <c r="O16" s="9"/>
      <c r="P16" s="9"/>
    </row>
    <row r="17" spans="1:16" s="19" customFormat="1" ht="16.5" thickBot="1" x14ac:dyDescent="0.3">
      <c r="A17" s="17"/>
      <c r="B17" s="18"/>
      <c r="D17" s="20"/>
      <c r="G17" s="21"/>
      <c r="H17" s="21"/>
      <c r="I17" s="21"/>
      <c r="K17" s="8"/>
      <c r="L17" s="8"/>
      <c r="M17" s="8"/>
      <c r="N17" s="9"/>
      <c r="O17" s="9"/>
      <c r="P17" s="9"/>
    </row>
    <row r="18" spans="1:16" ht="19.5" customHeight="1" thickBot="1" x14ac:dyDescent="0.3">
      <c r="A18" s="22"/>
      <c r="B18" s="23" t="str">
        <f>Feuil3!D8</f>
        <v>Menge</v>
      </c>
      <c r="C18" s="23" t="str">
        <f>Feuil3!E8</f>
        <v>Einheit</v>
      </c>
      <c r="D18" s="23" t="str">
        <f>Feuil3!F8</f>
        <v>Preis/Einheit</v>
      </c>
      <c r="E18" s="23" t="str">
        <f>Feuil3!G8</f>
        <v>Betrag</v>
      </c>
      <c r="F18" s="23" t="str">
        <f>Feuil3!H8</f>
        <v>Total</v>
      </c>
      <c r="G18" s="23" t="str">
        <f>Feuil3!I8</f>
        <v>pro 100kg</v>
      </c>
      <c r="H18" s="23" t="str">
        <f>Feuil3!J8</f>
        <v>1 lt à %vol</v>
      </c>
      <c r="I18" s="23" t="str">
        <f>Feuil3!K8</f>
        <v>%</v>
      </c>
      <c r="J18" s="26"/>
      <c r="N18" s="9"/>
      <c r="O18" s="9"/>
      <c r="P18" s="9"/>
    </row>
    <row r="19" spans="1:16" x14ac:dyDescent="0.25">
      <c r="A19" s="27" t="str">
        <f>Feuil3!C19</f>
        <v>Verarbeitungs-Rohstoff</v>
      </c>
      <c r="B19" s="28">
        <f>B6</f>
        <v>100</v>
      </c>
      <c r="C19" s="28" t="s">
        <v>30</v>
      </c>
      <c r="D19" s="29">
        <f>B7</f>
        <v>0.4</v>
      </c>
      <c r="E19" s="30"/>
      <c r="F19" s="31">
        <f>B19*D19</f>
        <v>40</v>
      </c>
      <c r="G19" s="29">
        <f>F19/B19*100</f>
        <v>40</v>
      </c>
      <c r="H19" s="32">
        <f>F19/$E$59</f>
        <v>3.3600000000000003</v>
      </c>
      <c r="I19" s="33">
        <f>H19/$H$59</f>
        <v>5.920782348818663E-2</v>
      </c>
      <c r="J19" s="34"/>
    </row>
    <row r="20" spans="1:16" x14ac:dyDescent="0.25">
      <c r="A20" s="35"/>
      <c r="B20" s="78"/>
      <c r="C20" s="78"/>
      <c r="D20" s="79"/>
      <c r="E20" s="80"/>
      <c r="F20" s="38"/>
      <c r="G20" s="37"/>
      <c r="H20" s="39"/>
      <c r="I20" s="33"/>
      <c r="J20" s="13"/>
    </row>
    <row r="21" spans="1:16" x14ac:dyDescent="0.25">
      <c r="A21" s="76" t="str">
        <f>Feuil3!C21</f>
        <v>Gärbehälter</v>
      </c>
      <c r="B21" s="47"/>
      <c r="C21" s="83"/>
      <c r="D21" s="84"/>
      <c r="E21" s="36"/>
      <c r="F21" s="95">
        <f>E22+E23+E24</f>
        <v>5.4333333333333336</v>
      </c>
      <c r="G21" s="37">
        <f>F21/B19*100</f>
        <v>5.4333333333333336</v>
      </c>
      <c r="H21" s="39">
        <f>F21/$E$59</f>
        <v>0.45640000000000008</v>
      </c>
      <c r="I21" s="33">
        <f t="shared" ref="I21" si="0">H21/$H$59</f>
        <v>8.0423960238120186E-3</v>
      </c>
      <c r="J21" s="13"/>
    </row>
    <row r="22" spans="1:16" ht="26.25" x14ac:dyDescent="0.25">
      <c r="A22" s="42" t="str">
        <f>Feuil3!C22</f>
        <v>Kunststoff-Fass 120l (Abschreibung auf 15 Jahre)</v>
      </c>
      <c r="B22" s="97">
        <f>B$6/100</f>
        <v>1</v>
      </c>
      <c r="C22" s="98" t="s">
        <v>31</v>
      </c>
      <c r="D22" s="82">
        <v>36.5</v>
      </c>
      <c r="E22" s="29">
        <f>(D22*B22)/15</f>
        <v>2.4333333333333331</v>
      </c>
      <c r="F22" s="38"/>
      <c r="G22" s="37"/>
      <c r="H22" s="39"/>
      <c r="I22" s="40"/>
      <c r="J22" s="13"/>
    </row>
    <row r="23" spans="1:16" ht="20.25" customHeight="1" x14ac:dyDescent="0.25">
      <c r="A23" s="42" t="str">
        <f>Feuil3!C23</f>
        <v>Gärfilter (Abschreibung auf 15 Jahre)</v>
      </c>
      <c r="B23" s="43">
        <f>B$6/100</f>
        <v>1</v>
      </c>
      <c r="C23" s="44" t="s">
        <v>31</v>
      </c>
      <c r="D23" s="71">
        <v>13.5</v>
      </c>
      <c r="E23" s="37">
        <f>(D23*B23)/15</f>
        <v>0.9</v>
      </c>
      <c r="F23" s="38"/>
      <c r="G23" s="37"/>
      <c r="H23" s="39"/>
      <c r="I23" s="40"/>
      <c r="J23" s="13"/>
    </row>
    <row r="24" spans="1:16" x14ac:dyDescent="0.25">
      <c r="A24" s="42" t="str">
        <f>Feuil3!C24</f>
        <v>Gebäudekosten für Einlagerung</v>
      </c>
      <c r="B24" s="36">
        <f>B23*0.15</f>
        <v>0.15</v>
      </c>
      <c r="C24" s="44" t="s">
        <v>38</v>
      </c>
      <c r="D24" s="71">
        <v>14</v>
      </c>
      <c r="E24" s="37">
        <f>(D24*B24)</f>
        <v>2.1</v>
      </c>
      <c r="F24" s="26"/>
      <c r="G24" s="37"/>
      <c r="H24" s="39"/>
      <c r="I24" s="40"/>
      <c r="J24" s="13"/>
    </row>
    <row r="25" spans="1:16" x14ac:dyDescent="0.25">
      <c r="A25" s="35"/>
      <c r="B25" s="78"/>
      <c r="C25" s="78"/>
      <c r="D25" s="79"/>
      <c r="E25" s="80"/>
      <c r="F25" s="38"/>
      <c r="G25" s="37"/>
      <c r="H25" s="39"/>
      <c r="I25" s="40"/>
      <c r="J25" s="13"/>
    </row>
    <row r="26" spans="1:16" x14ac:dyDescent="0.25">
      <c r="A26" s="76" t="str">
        <f>Feuil3!C26</f>
        <v>Einmaischen</v>
      </c>
      <c r="B26" s="47"/>
      <c r="C26" s="83"/>
      <c r="D26" s="84"/>
      <c r="E26" s="36"/>
      <c r="F26" s="95">
        <f>SUM(E27:E32)</f>
        <v>74</v>
      </c>
      <c r="G26" s="37">
        <f>F26/B19*100</f>
        <v>74</v>
      </c>
      <c r="H26" s="39">
        <f>F26/$E$59</f>
        <v>6.2160000000000011</v>
      </c>
      <c r="I26" s="40">
        <f>H26/$H$59</f>
        <v>0.10953447345314528</v>
      </c>
      <c r="J26" s="13"/>
    </row>
    <row r="27" spans="1:16" x14ac:dyDescent="0.25">
      <c r="A27" s="42" t="str">
        <f>Feuil3!C27</f>
        <v>Häckseln</v>
      </c>
      <c r="B27" s="28">
        <f>B6</f>
        <v>100</v>
      </c>
      <c r="C27" s="28" t="s">
        <v>30</v>
      </c>
      <c r="D27" s="96">
        <f>IF(B4='Rendement-Ausbeute'!C1,0.1,IF(B4='Rendement-Ausbeute'!C2,0.1,IF(B4='Rendement-Ausbeute'!C3,0.1, IF(B4='Rendement-Ausbeute'!C20,0.1))))</f>
        <v>0.1</v>
      </c>
      <c r="E27" s="89">
        <f t="shared" ref="E27:E32" si="1">B27*D27</f>
        <v>10</v>
      </c>
      <c r="F27" s="35"/>
      <c r="G27" s="37"/>
      <c r="H27" s="39"/>
      <c r="I27" s="40"/>
      <c r="J27" s="13"/>
    </row>
    <row r="28" spans="1:16" x14ac:dyDescent="0.25">
      <c r="A28" s="42" t="str">
        <f>Feuil3!C28</f>
        <v>Enzyme</v>
      </c>
      <c r="B28" s="36">
        <f>5*B22</f>
        <v>5</v>
      </c>
      <c r="C28" s="36" t="s">
        <v>41</v>
      </c>
      <c r="D28" s="71">
        <v>0</v>
      </c>
      <c r="E28" s="45">
        <f>B28*D28</f>
        <v>0</v>
      </c>
      <c r="F28" s="35"/>
      <c r="G28" s="37"/>
      <c r="H28" s="39"/>
      <c r="I28" s="40"/>
      <c r="J28" s="13"/>
      <c r="K28" s="46"/>
      <c r="L28" s="13"/>
    </row>
    <row r="29" spans="1:16" x14ac:dyDescent="0.25">
      <c r="A29" s="42" t="str">
        <f>Feuil3!C29</f>
        <v>Milch-/Phosphorsäure</v>
      </c>
      <c r="B29" s="36">
        <f>B6*0.02</f>
        <v>2</v>
      </c>
      <c r="C29" s="36" t="s">
        <v>42</v>
      </c>
      <c r="D29" s="71">
        <v>2</v>
      </c>
      <c r="E29" s="45">
        <f t="shared" si="1"/>
        <v>4</v>
      </c>
      <c r="F29" s="35"/>
      <c r="G29" s="37"/>
      <c r="H29" s="39"/>
      <c r="I29" s="40"/>
      <c r="J29" s="13"/>
      <c r="K29" s="46"/>
      <c r="L29" s="13"/>
    </row>
    <row r="30" spans="1:16" x14ac:dyDescent="0.25">
      <c r="A30" s="42" t="str">
        <f>Feuil3!C30</f>
        <v>Hefen</v>
      </c>
      <c r="B30" s="36">
        <f>25*B27/100</f>
        <v>25</v>
      </c>
      <c r="C30" s="36" t="s">
        <v>43</v>
      </c>
      <c r="D30" s="71">
        <v>0.2</v>
      </c>
      <c r="E30" s="45">
        <f t="shared" si="1"/>
        <v>5</v>
      </c>
      <c r="F30" s="35"/>
      <c r="G30" s="37"/>
      <c r="H30" s="39"/>
      <c r="I30" s="40"/>
      <c r="J30" s="13"/>
      <c r="K30" s="46"/>
      <c r="L30" s="13"/>
    </row>
    <row r="31" spans="1:16" x14ac:dyDescent="0.25">
      <c r="A31" s="42" t="str">
        <f>Feuil3!C31</f>
        <v>Analytik</v>
      </c>
      <c r="B31" s="36">
        <f>B6/100</f>
        <v>1</v>
      </c>
      <c r="C31" s="36" t="s">
        <v>44</v>
      </c>
      <c r="D31" s="71">
        <v>1</v>
      </c>
      <c r="E31" s="45">
        <f t="shared" si="1"/>
        <v>1</v>
      </c>
      <c r="F31" s="47"/>
      <c r="G31" s="37"/>
      <c r="H31" s="39"/>
      <c r="I31" s="40"/>
      <c r="J31" s="13"/>
      <c r="K31" s="46"/>
      <c r="L31" s="13"/>
    </row>
    <row r="32" spans="1:16" ht="28.5" customHeight="1" x14ac:dyDescent="0.25">
      <c r="A32" s="42" t="str">
        <f>Feuil3!C32</f>
        <v>Arbeitsleistung Einmaischen, Gärführung (1.2h /100kg)</v>
      </c>
      <c r="B32" s="48">
        <f>B23*1.2</f>
        <v>1.2</v>
      </c>
      <c r="C32" s="49" t="s">
        <v>32</v>
      </c>
      <c r="D32" s="50">
        <f>B10</f>
        <v>45</v>
      </c>
      <c r="E32" s="45">
        <f t="shared" si="1"/>
        <v>54</v>
      </c>
      <c r="F32" s="35"/>
      <c r="G32" s="37"/>
      <c r="H32" s="39"/>
      <c r="I32" s="40"/>
      <c r="J32" s="13"/>
      <c r="K32" s="46"/>
      <c r="L32" s="13"/>
    </row>
    <row r="33" spans="1:12" x14ac:dyDescent="0.25">
      <c r="A33" s="35"/>
      <c r="B33" s="78"/>
      <c r="C33" s="78"/>
      <c r="D33" s="79"/>
      <c r="E33" s="92"/>
      <c r="F33" s="38"/>
      <c r="G33" s="37"/>
      <c r="H33" s="39"/>
      <c r="I33" s="40"/>
      <c r="J33" s="13"/>
      <c r="K33" s="46"/>
      <c r="L33" s="13"/>
    </row>
    <row r="34" spans="1:12" x14ac:dyDescent="0.25">
      <c r="A34" s="76" t="str">
        <f>Feuil3!C34</f>
        <v>Transport</v>
      </c>
      <c r="B34" s="47"/>
      <c r="C34" s="83"/>
      <c r="D34" s="84"/>
      <c r="E34" s="36"/>
      <c r="F34" s="77">
        <f>E36+E35</f>
        <v>104.25</v>
      </c>
      <c r="G34" s="37">
        <f>F34/B19*100</f>
        <v>104.25</v>
      </c>
      <c r="H34" s="39">
        <f>F34/$E$59</f>
        <v>8.7570000000000014</v>
      </c>
      <c r="I34" s="40">
        <f>H34/$H$59</f>
        <v>0.15431038996608643</v>
      </c>
      <c r="J34" s="13"/>
      <c r="K34" s="46"/>
      <c r="L34" s="13"/>
    </row>
    <row r="35" spans="1:12" x14ac:dyDescent="0.25">
      <c r="A35" s="42" t="str">
        <f>Feuil3!C35</f>
        <v>km-Entschädigung</v>
      </c>
      <c r="B35" s="93">
        <f>B12</f>
        <v>60</v>
      </c>
      <c r="C35" s="94" t="s">
        <v>33</v>
      </c>
      <c r="D35" s="29">
        <v>0.65</v>
      </c>
      <c r="E35" s="89">
        <f>B35*D35</f>
        <v>39</v>
      </c>
      <c r="F35" s="35"/>
      <c r="G35" s="37"/>
      <c r="H35" s="39"/>
      <c r="I35" s="40"/>
      <c r="J35" s="13"/>
      <c r="K35" s="46"/>
      <c r="L35" s="13"/>
    </row>
    <row r="36" spans="1:12" x14ac:dyDescent="0.25">
      <c r="A36" s="42" t="str">
        <f>Feuil3!C36</f>
        <v>Arbeitsleistung</v>
      </c>
      <c r="B36" s="49">
        <f>B35/50+B22*0.25</f>
        <v>1.45</v>
      </c>
      <c r="C36" s="49" t="s">
        <v>32</v>
      </c>
      <c r="D36" s="37">
        <f>B10</f>
        <v>45</v>
      </c>
      <c r="E36" s="50">
        <f>B36*D36</f>
        <v>65.25</v>
      </c>
      <c r="F36" s="26"/>
      <c r="G36" s="37"/>
      <c r="H36" s="39"/>
      <c r="I36" s="40"/>
      <c r="J36" s="13"/>
      <c r="K36" s="46"/>
      <c r="L36" s="13"/>
    </row>
    <row r="37" spans="1:12" x14ac:dyDescent="0.25">
      <c r="A37" s="35"/>
      <c r="B37" s="36"/>
      <c r="C37" s="36"/>
      <c r="D37" s="37"/>
      <c r="E37" s="35"/>
      <c r="F37" s="38"/>
      <c r="G37" s="37"/>
      <c r="H37" s="39"/>
      <c r="I37" s="40"/>
      <c r="J37" s="13"/>
      <c r="K37" s="46"/>
      <c r="L37" s="13"/>
    </row>
    <row r="38" spans="1:12" x14ac:dyDescent="0.25">
      <c r="A38" s="41" t="str">
        <f>Feuil3!C38</f>
        <v>Brennlohn</v>
      </c>
      <c r="B38" s="26"/>
      <c r="C38" s="26"/>
      <c r="D38" s="51"/>
      <c r="E38" s="26"/>
      <c r="F38" s="38">
        <f>E40+E39</f>
        <v>153.85714285714283</v>
      </c>
      <c r="G38" s="37">
        <f>F38/B19*100</f>
        <v>153.85714285714283</v>
      </c>
      <c r="H38" s="39">
        <f>F38/$E$59</f>
        <v>12.923999999999999</v>
      </c>
      <c r="I38" s="40">
        <f>H38/$H$59</f>
        <v>0.22773866391706069</v>
      </c>
      <c r="J38" s="13"/>
      <c r="K38" s="46"/>
      <c r="L38" s="13"/>
    </row>
    <row r="39" spans="1:12" x14ac:dyDescent="0.25">
      <c r="A39" s="42" t="str">
        <f>Feuil3!C39</f>
        <v>für Lohn-Destillation</v>
      </c>
      <c r="B39" s="52">
        <f>B$43/B$8*100</f>
        <v>11.904761904761903</v>
      </c>
      <c r="C39" s="36" t="s">
        <v>34</v>
      </c>
      <c r="D39" s="53">
        <f>B11</f>
        <v>12</v>
      </c>
      <c r="E39" s="37">
        <f>B39*D39</f>
        <v>142.85714285714283</v>
      </c>
      <c r="F39" s="38"/>
      <c r="G39" s="37"/>
      <c r="H39" s="39"/>
      <c r="I39" s="40"/>
      <c r="J39" s="13"/>
      <c r="K39" s="46"/>
      <c r="L39" s="13"/>
    </row>
    <row r="40" spans="1:12" x14ac:dyDescent="0.25">
      <c r="A40" s="42" t="str">
        <f>Feuil3!C40</f>
        <v>MwSt</v>
      </c>
      <c r="B40" s="54">
        <f>B14</f>
        <v>7.6999999999999999E-2</v>
      </c>
      <c r="C40" s="54"/>
      <c r="D40" s="37"/>
      <c r="E40" s="37">
        <f>(E39)*B40</f>
        <v>10.999999999999998</v>
      </c>
      <c r="F40" s="26"/>
      <c r="G40" s="37"/>
      <c r="H40" s="39"/>
      <c r="I40" s="40"/>
      <c r="J40" s="13"/>
      <c r="K40" s="46"/>
      <c r="L40" s="13"/>
    </row>
    <row r="41" spans="1:12" x14ac:dyDescent="0.25">
      <c r="A41" s="35"/>
      <c r="B41" s="36"/>
      <c r="C41" s="36"/>
      <c r="D41" s="37"/>
      <c r="E41" s="35"/>
      <c r="F41" s="38"/>
      <c r="G41" s="37"/>
      <c r="H41" s="39"/>
      <c r="I41" s="40"/>
      <c r="J41" s="13"/>
      <c r="K41" s="46"/>
      <c r="L41" s="13"/>
    </row>
    <row r="42" spans="1:12" x14ac:dyDescent="0.25">
      <c r="A42" s="41" t="str">
        <f>Feuil3!C42</f>
        <v>Steuern</v>
      </c>
      <c r="B42" s="26"/>
      <c r="C42" s="26"/>
      <c r="D42" s="51"/>
      <c r="E42" s="35"/>
      <c r="F42" s="38">
        <f>E43-E44</f>
        <v>145</v>
      </c>
      <c r="G42" s="37">
        <f>F42/B19*100</f>
        <v>145</v>
      </c>
      <c r="H42" s="39">
        <f>F42/$E$59</f>
        <v>12.180000000000001</v>
      </c>
      <c r="I42" s="40">
        <f>H42/$H$59</f>
        <v>0.21462836014467654</v>
      </c>
      <c r="J42" s="13"/>
      <c r="K42" s="46"/>
      <c r="L42" s="13"/>
    </row>
    <row r="43" spans="1:12" x14ac:dyDescent="0.25">
      <c r="A43" s="42" t="str">
        <f>Feuil3!C43</f>
        <v>Rein-Alkohol RA 100%vol</v>
      </c>
      <c r="B43" s="36">
        <f>B6*B5%</f>
        <v>5</v>
      </c>
      <c r="C43" s="36" t="s">
        <v>34</v>
      </c>
      <c r="D43" s="37">
        <f>B15</f>
        <v>29</v>
      </c>
      <c r="E43" s="55">
        <f>B43*D43</f>
        <v>145</v>
      </c>
      <c r="F43" s="38"/>
      <c r="G43" s="37"/>
      <c r="H43" s="39"/>
      <c r="I43" s="40"/>
      <c r="J43" s="13"/>
      <c r="K43" s="73"/>
      <c r="L43" s="13"/>
    </row>
    <row r="44" spans="1:12" ht="26.25" x14ac:dyDescent="0.25">
      <c r="A44" s="42" t="str">
        <f>Feuil3!C44</f>
        <v>Steuer-Rabatt für Kleinprodzenten 30% auf max. 30l RA</v>
      </c>
      <c r="B44" s="56">
        <f>IF(B43&gt;30,30,B43)</f>
        <v>5</v>
      </c>
      <c r="C44" s="36"/>
      <c r="D44" s="37">
        <f>IF(B16="oui",0.3*D43,0)</f>
        <v>0</v>
      </c>
      <c r="E44" s="55">
        <f>B44*D44</f>
        <v>0</v>
      </c>
      <c r="F44" s="38"/>
      <c r="G44" s="37"/>
      <c r="H44" s="39"/>
      <c r="I44" s="40"/>
      <c r="J44" s="13"/>
      <c r="K44" s="46"/>
      <c r="L44" s="13"/>
    </row>
    <row r="45" spans="1:12" x14ac:dyDescent="0.25">
      <c r="A45" s="42"/>
      <c r="B45" s="78"/>
      <c r="C45" s="78"/>
      <c r="D45" s="79"/>
      <c r="E45" s="80"/>
      <c r="F45" s="38"/>
      <c r="G45" s="37"/>
      <c r="H45" s="39"/>
      <c r="I45" s="40"/>
      <c r="J45" s="13"/>
      <c r="K45" s="46"/>
      <c r="L45" s="13"/>
    </row>
    <row r="46" spans="1:12" x14ac:dyDescent="0.25">
      <c r="A46" s="76" t="str">
        <f>Feuil3!C46</f>
        <v>Abfüllung</v>
      </c>
      <c r="B46" s="47"/>
      <c r="C46" s="83"/>
      <c r="D46" s="84"/>
      <c r="E46" s="36"/>
      <c r="F46" s="38">
        <f>SUM(E47:E51)</f>
        <v>134.68877551020407</v>
      </c>
      <c r="G46" s="51">
        <f>F46/B19*100</f>
        <v>134.68877551020407</v>
      </c>
      <c r="H46" s="55">
        <f>F46/$E$59</f>
        <v>11.313857142857144</v>
      </c>
      <c r="I46" s="40">
        <f>H46/$H$59</f>
        <v>0.19936573115620393</v>
      </c>
      <c r="J46" s="13"/>
      <c r="K46" s="46"/>
      <c r="L46" s="13"/>
    </row>
    <row r="47" spans="1:12" x14ac:dyDescent="0.25">
      <c r="A47" s="42" t="str">
        <f>Feuil3!C47</f>
        <v>Flasche</v>
      </c>
      <c r="B47" s="81">
        <f>((($B$6*$B$5%)/$B$8)*100)/$B$9</f>
        <v>23.809523809523807</v>
      </c>
      <c r="C47" s="28"/>
      <c r="D47" s="82">
        <v>2.5</v>
      </c>
      <c r="E47" s="29">
        <f>B47*D47</f>
        <v>59.523809523809518</v>
      </c>
      <c r="F47" s="58"/>
      <c r="G47" s="58"/>
      <c r="H47" s="58"/>
      <c r="I47" s="40"/>
      <c r="J47" s="13"/>
      <c r="K47" s="46"/>
      <c r="L47" s="13"/>
    </row>
    <row r="48" spans="1:12" x14ac:dyDescent="0.25">
      <c r="A48" s="42" t="str">
        <f>Feuil3!C48</f>
        <v>Stopfen mit Schrumpfkapsel</v>
      </c>
      <c r="B48" s="57">
        <f>((($B$6*$B$5%)/$B$8)*100)/$B$9</f>
        <v>23.809523809523807</v>
      </c>
      <c r="C48" s="36"/>
      <c r="D48" s="72">
        <v>0.8</v>
      </c>
      <c r="E48" s="37">
        <f>B48*D48</f>
        <v>19.047619047619047</v>
      </c>
      <c r="F48" s="59"/>
      <c r="G48" s="37"/>
      <c r="H48" s="39"/>
      <c r="I48" s="40"/>
      <c r="J48" s="13"/>
      <c r="K48" s="46"/>
      <c r="L48" s="13"/>
    </row>
    <row r="49" spans="1:12" x14ac:dyDescent="0.25">
      <c r="A49" s="42" t="str">
        <f>Feuil3!C49</f>
        <v>Etiketten</v>
      </c>
      <c r="B49" s="57">
        <f>((($B$6*$B$5%)/$B$8)*100)/$B$9</f>
        <v>23.809523809523807</v>
      </c>
      <c r="C49" s="36" t="s">
        <v>45</v>
      </c>
      <c r="D49" s="71">
        <v>0.5</v>
      </c>
      <c r="E49" s="37">
        <f>B49*D49</f>
        <v>11.904761904761903</v>
      </c>
      <c r="F49" s="35"/>
      <c r="G49" s="37"/>
      <c r="H49" s="39"/>
      <c r="I49" s="40"/>
      <c r="J49" s="13"/>
      <c r="K49" s="46"/>
      <c r="L49" s="13"/>
    </row>
    <row r="50" spans="1:12" ht="26.25" x14ac:dyDescent="0.25">
      <c r="A50" s="42" t="str">
        <f>Feuil3!C50</f>
        <v>Abfüllgerät mit Kerzenfilter (Abschreibung 5 Jahre / Jahresproduktion 200l/Jahr)</v>
      </c>
      <c r="B50" s="52">
        <f>B49/50</f>
        <v>0.47619047619047611</v>
      </c>
      <c r="C50" s="36" t="s">
        <v>32</v>
      </c>
      <c r="D50" s="71">
        <f>((430+200+167)/7)/40</f>
        <v>2.8464285714285715</v>
      </c>
      <c r="E50" s="37">
        <f>B50*D50</f>
        <v>1.3554421768707481</v>
      </c>
      <c r="F50" s="35"/>
      <c r="G50" s="37"/>
      <c r="H50" s="39"/>
      <c r="I50" s="40"/>
      <c r="J50" s="13"/>
      <c r="K50" s="46"/>
      <c r="L50" s="13"/>
    </row>
    <row r="51" spans="1:12" x14ac:dyDescent="0.25">
      <c r="A51" s="42" t="str">
        <f>Feuil3!C51</f>
        <v>Arbeitsleitung (25 Flaschen/h)</v>
      </c>
      <c r="B51" s="52">
        <f>B49/25</f>
        <v>0.95238095238095222</v>
      </c>
      <c r="C51" s="36" t="s">
        <v>32</v>
      </c>
      <c r="D51" s="37">
        <f>B10</f>
        <v>45</v>
      </c>
      <c r="E51" s="45">
        <f>B51*D51</f>
        <v>42.857142857142847</v>
      </c>
      <c r="F51" s="35"/>
      <c r="G51" s="37"/>
      <c r="H51" s="39"/>
      <c r="I51" s="40"/>
      <c r="J51" s="13"/>
      <c r="K51" s="46"/>
      <c r="L51" s="13"/>
    </row>
    <row r="52" spans="1:12" x14ac:dyDescent="0.25">
      <c r="A52" s="42"/>
      <c r="B52" s="86"/>
      <c r="C52" s="78"/>
      <c r="D52" s="79"/>
      <c r="E52" s="87"/>
      <c r="F52" s="47"/>
      <c r="G52" s="37"/>
      <c r="H52" s="39"/>
      <c r="I52" s="40"/>
      <c r="J52" s="13"/>
      <c r="K52" s="46"/>
      <c r="L52" s="13"/>
    </row>
    <row r="53" spans="1:12" x14ac:dyDescent="0.25">
      <c r="A53" s="76" t="str">
        <f>Feuil3!C53</f>
        <v>Verkauf</v>
      </c>
      <c r="B53" s="90"/>
      <c r="C53" s="83"/>
      <c r="D53" s="84"/>
      <c r="E53" s="91"/>
      <c r="F53" s="85">
        <f>E54+E55+E56</f>
        <v>18.357142857142854</v>
      </c>
      <c r="G53" s="37">
        <f>F53/B19*100</f>
        <v>18.357142857142854</v>
      </c>
      <c r="H53" s="39">
        <f>F53/E59</f>
        <v>1.542</v>
      </c>
      <c r="I53" s="40">
        <f>H53/$H$59</f>
        <v>2.7172161850828505E-2</v>
      </c>
      <c r="J53" s="13"/>
      <c r="K53" s="46"/>
      <c r="L53" s="13"/>
    </row>
    <row r="54" spans="1:12" x14ac:dyDescent="0.25">
      <c r="A54" s="42" t="str">
        <f>Feuil3!C54</f>
        <v>Verpackung (Beutel, Karton, Holzkisten)</v>
      </c>
      <c r="B54" s="81">
        <f>B47</f>
        <v>23.809523809523807</v>
      </c>
      <c r="C54" s="28" t="s">
        <v>31</v>
      </c>
      <c r="D54" s="88">
        <v>0</v>
      </c>
      <c r="E54" s="89">
        <f t="shared" ref="E54:E56" si="2">B54*D54</f>
        <v>0</v>
      </c>
      <c r="F54" s="47"/>
      <c r="G54" s="37"/>
      <c r="H54" s="39"/>
      <c r="I54" s="40"/>
      <c r="J54" s="13"/>
      <c r="K54" s="46"/>
      <c r="L54" s="13"/>
    </row>
    <row r="55" spans="1:12" x14ac:dyDescent="0.25">
      <c r="A55" s="42" t="str">
        <f>Feuil3!C55</f>
        <v>Verkaufs-Infrastruktur</v>
      </c>
      <c r="B55" s="52">
        <f>(B47*E60)/1000</f>
        <v>1.1904761904761904E-2</v>
      </c>
      <c r="C55" s="36" t="s">
        <v>38</v>
      </c>
      <c r="D55" s="37">
        <f>D24*3</f>
        <v>42</v>
      </c>
      <c r="E55" s="45">
        <f t="shared" si="2"/>
        <v>0.5</v>
      </c>
      <c r="F55" s="47"/>
      <c r="G55" s="37"/>
      <c r="H55" s="39"/>
      <c r="I55" s="40"/>
      <c r="J55" s="13"/>
      <c r="K55" s="46"/>
      <c r="L55" s="13"/>
    </row>
    <row r="56" spans="1:12" x14ac:dyDescent="0.25">
      <c r="A56" s="42" t="str">
        <f>Feuil3!C56</f>
        <v>Arbeitsleistung für Verkauf</v>
      </c>
      <c r="B56" s="52">
        <f>B47*(B13/60)</f>
        <v>0.39682539682539675</v>
      </c>
      <c r="C56" s="36" t="s">
        <v>32</v>
      </c>
      <c r="D56" s="37">
        <f>B10</f>
        <v>45</v>
      </c>
      <c r="E56" s="45">
        <f t="shared" si="2"/>
        <v>17.857142857142854</v>
      </c>
      <c r="F56" s="47"/>
      <c r="G56" s="37"/>
      <c r="H56" s="39"/>
      <c r="I56" s="40"/>
      <c r="J56" s="13"/>
      <c r="K56" s="46"/>
      <c r="L56" s="13"/>
    </row>
    <row r="57" spans="1:12" x14ac:dyDescent="0.25">
      <c r="A57" s="42"/>
      <c r="B57" s="52"/>
      <c r="C57" s="36"/>
      <c r="D57" s="37"/>
      <c r="E57" s="45"/>
      <c r="F57" s="47"/>
      <c r="G57" s="37"/>
      <c r="H57" s="39"/>
      <c r="I57" s="40"/>
      <c r="J57" s="13"/>
      <c r="K57" s="46"/>
      <c r="L57" s="13"/>
    </row>
    <row r="58" spans="1:12" x14ac:dyDescent="0.25">
      <c r="A58" s="35"/>
      <c r="B58" s="26"/>
      <c r="C58" s="26"/>
      <c r="D58" s="51"/>
      <c r="E58" s="26"/>
      <c r="F58" s="26"/>
      <c r="G58" s="26"/>
      <c r="H58" s="26"/>
      <c r="I58" s="35"/>
      <c r="J58" s="13"/>
      <c r="K58" s="46"/>
      <c r="L58" s="13"/>
    </row>
    <row r="59" spans="1:12" s="21" customFormat="1" ht="18.75" customHeight="1" thickBot="1" x14ac:dyDescent="0.3">
      <c r="A59" s="41" t="str">
        <f>Feuil3!C59</f>
        <v>TOTAL</v>
      </c>
      <c r="B59" s="60"/>
      <c r="C59" s="60"/>
      <c r="D59" s="59" t="s">
        <v>169</v>
      </c>
      <c r="E59" s="111">
        <f>B39</f>
        <v>11.904761904761903</v>
      </c>
      <c r="F59" s="112">
        <f>SUM(F19:F57)</f>
        <v>675.58639455782316</v>
      </c>
      <c r="G59" s="112">
        <f>SUM(G19:G57)</f>
        <v>675.58639455782316</v>
      </c>
      <c r="H59" s="107">
        <f>SUM(H19:H57)</f>
        <v>56.749257142857147</v>
      </c>
      <c r="I59" s="40">
        <f>SUM(I19:I58)</f>
        <v>1</v>
      </c>
      <c r="J59" s="61"/>
      <c r="K59" s="62"/>
      <c r="L59" s="61"/>
    </row>
    <row r="60" spans="1:12" ht="18.75" customHeight="1" thickBot="1" x14ac:dyDescent="0.3">
      <c r="A60" s="35" t="str">
        <f>Feuil3!C60</f>
        <v>Stunden</v>
      </c>
      <c r="B60" s="63">
        <f>B51+B36+B32+B56</f>
        <v>3.9992063492063488</v>
      </c>
      <c r="C60" s="36"/>
      <c r="D60" s="59" t="s">
        <v>66</v>
      </c>
      <c r="E60" s="108">
        <f>B9</f>
        <v>0.5</v>
      </c>
      <c r="F60" s="107" t="s">
        <v>7</v>
      </c>
      <c r="G60" s="109" t="s">
        <v>170</v>
      </c>
      <c r="H60" s="110">
        <f>F59/E59*B9</f>
        <v>28.374628571428577</v>
      </c>
      <c r="I60" s="103"/>
      <c r="J60" s="61"/>
      <c r="K60" s="62"/>
      <c r="L60" s="61"/>
    </row>
    <row r="61" spans="1:12" hidden="1" x14ac:dyDescent="0.25">
      <c r="A61" s="35">
        <f>Feuil3!C61</f>
        <v>0</v>
      </c>
      <c r="D61" s="64"/>
      <c r="E61" s="65"/>
      <c r="F61" s="66"/>
      <c r="G61" s="66"/>
      <c r="H61" s="104"/>
      <c r="I61" s="58"/>
      <c r="J61" s="13"/>
      <c r="K61" s="13"/>
      <c r="L61" s="13"/>
    </row>
    <row r="63" spans="1:12" x14ac:dyDescent="0.25">
      <c r="A63" s="8" t="s">
        <v>178</v>
      </c>
    </row>
    <row r="65" spans="1:1" x14ac:dyDescent="0.25">
      <c r="A65" s="19"/>
    </row>
    <row r="68" spans="1:1" ht="44.25" x14ac:dyDescent="0.55000000000000004">
      <c r="A68" s="67"/>
    </row>
    <row r="71" spans="1:1" x14ac:dyDescent="0.25">
      <c r="A71" s="68"/>
    </row>
  </sheetData>
  <sheetProtection sheet="1" objects="1" scenarios="1"/>
  <pageMargins left="0.25" right="0.25"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3" r:id="rId4" name="Option Button 39">
              <controlPr defaultSize="0" autoFill="0" autoLine="0" autoPict="0">
                <anchor moveWithCells="1">
                  <from>
                    <xdr:col>0</xdr:col>
                    <xdr:colOff>552450</xdr:colOff>
                    <xdr:row>2</xdr:row>
                    <xdr:rowOff>257175</xdr:rowOff>
                  </from>
                  <to>
                    <xdr:col>0</xdr:col>
                    <xdr:colOff>923925</xdr:colOff>
                    <xdr:row>2</xdr:row>
                    <xdr:rowOff>447675</xdr:rowOff>
                  </to>
                </anchor>
              </controlPr>
            </control>
          </mc:Choice>
        </mc:AlternateContent>
        <mc:AlternateContent xmlns:mc="http://schemas.openxmlformats.org/markup-compatibility/2006">
          <mc:Choice Requires="x14">
            <control shapeId="1064" r:id="rId5" name="Option Button 40">
              <controlPr defaultSize="0" autoFill="0" autoLine="0" autoPict="0">
                <anchor moveWithCells="1">
                  <from>
                    <xdr:col>0</xdr:col>
                    <xdr:colOff>2343150</xdr:colOff>
                    <xdr:row>2</xdr:row>
                    <xdr:rowOff>285750</xdr:rowOff>
                  </from>
                  <to>
                    <xdr:col>0</xdr:col>
                    <xdr:colOff>2686050</xdr:colOff>
                    <xdr:row>2</xdr:row>
                    <xdr:rowOff>438150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14:formula1>
            <xm:f>'Rendement-Ausbeute'!$A$1:$A$20</xm:f>
          </x14:formula1>
          <xm:sqref>C4</xm:sqref>
        </x14:dataValidation>
        <x14:dataValidation type="list" allowBlank="1" showInputMessage="1" showErrorMessage="1">
          <x14:formula1>
            <xm:f>'Rendement-Ausbeute'!$I$1:$I$2</xm:f>
          </x14:formula1>
          <xm:sqref>B16</xm:sqref>
        </x14:dataValidation>
        <x14:dataValidation type="list" allowBlank="1" showInputMessage="1" showErrorMessage="1">
          <x14:formula1>
            <xm:f>'Rendement-Ausbeute'!$C$1:$C$22</xm:f>
          </x14:formula1>
          <xm:sqref>B4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M15" sqref="M15"/>
    </sheetView>
  </sheetViews>
  <sheetFormatPr baseColWidth="10" defaultRowHeight="15" x14ac:dyDescent="0.25"/>
  <cols>
    <col min="1" max="1" width="31.42578125" customWidth="1"/>
    <col min="2" max="2" width="22.85546875" bestFit="1" customWidth="1"/>
    <col min="3" max="3" width="31.42578125" hidden="1" customWidth="1"/>
    <col min="4" max="4" width="5.140625" bestFit="1" customWidth="1"/>
    <col min="5" max="6" width="11.5703125" hidden="1" customWidth="1"/>
    <col min="7" max="8" width="4.85546875" hidden="1" customWidth="1"/>
    <col min="9" max="9" width="4.7109375" hidden="1" customWidth="1"/>
    <col min="10" max="10" width="13.140625" hidden="1" customWidth="1"/>
  </cols>
  <sheetData>
    <row r="1" spans="1:9" x14ac:dyDescent="0.25">
      <c r="A1" s="101" t="s">
        <v>8</v>
      </c>
      <c r="B1" s="101" t="s">
        <v>140</v>
      </c>
      <c r="C1" s="101" t="str">
        <f>IF(Feuil3!$A$1=1,'Rendement-Ausbeute'!A1,'Rendement-Ausbeute'!B1)</f>
        <v>Apfel</v>
      </c>
      <c r="D1" s="101">
        <v>5</v>
      </c>
      <c r="E1">
        <v>0.1</v>
      </c>
      <c r="I1" t="s">
        <v>89</v>
      </c>
    </row>
    <row r="2" spans="1:9" x14ac:dyDescent="0.25">
      <c r="A2" s="101" t="s">
        <v>9</v>
      </c>
      <c r="B2" s="101" t="s">
        <v>141</v>
      </c>
      <c r="C2" s="101" t="str">
        <f>IF(Feuil3!$A$1=1,'Rendement-Ausbeute'!A2,'Rendement-Ausbeute'!B2)</f>
        <v>Birne</v>
      </c>
      <c r="D2" s="101">
        <v>4.4000000000000004</v>
      </c>
      <c r="E2">
        <v>0.1</v>
      </c>
      <c r="I2" t="s">
        <v>90</v>
      </c>
    </row>
    <row r="3" spans="1:9" x14ac:dyDescent="0.25">
      <c r="A3" s="101" t="s">
        <v>10</v>
      </c>
      <c r="B3" s="101" t="s">
        <v>142</v>
      </c>
      <c r="C3" s="101" t="str">
        <f>IF(Feuil3!$A$1=1,'Rendement-Ausbeute'!A3,'Rendement-Ausbeute'!B3)</f>
        <v>Williams</v>
      </c>
      <c r="D3" s="101">
        <v>3.8</v>
      </c>
      <c r="E3">
        <v>0.1</v>
      </c>
    </row>
    <row r="4" spans="1:9" x14ac:dyDescent="0.25">
      <c r="A4" s="101" t="s">
        <v>64</v>
      </c>
      <c r="B4" s="101" t="s">
        <v>158</v>
      </c>
      <c r="C4" s="101" t="str">
        <f>IF(Feuil3!$A$1=1,'Rendement-Ausbeute'!A4,'Rendement-Ausbeute'!B4)</f>
        <v>Quitte</v>
      </c>
      <c r="D4" s="101">
        <v>2.5</v>
      </c>
      <c r="E4">
        <v>0.1</v>
      </c>
    </row>
    <row r="5" spans="1:9" x14ac:dyDescent="0.25">
      <c r="A5" s="101" t="s">
        <v>11</v>
      </c>
      <c r="B5" s="101" t="s">
        <v>143</v>
      </c>
      <c r="C5" s="101" t="str">
        <f>IF(Feuil3!$A$1=1,'Rendement-Ausbeute'!A5,'Rendement-Ausbeute'!B5)</f>
        <v>Obstweinbrand</v>
      </c>
      <c r="D5" s="101">
        <v>5.4</v>
      </c>
    </row>
    <row r="6" spans="1:9" x14ac:dyDescent="0.25">
      <c r="A6" s="101" t="s">
        <v>12</v>
      </c>
      <c r="B6" s="101" t="s">
        <v>144</v>
      </c>
      <c r="C6" s="101" t="str">
        <f>IF(Feuil3!$A$1=1,'Rendement-Ausbeute'!A6,'Rendement-Ausbeute'!B6)</f>
        <v>Kernobst-Trester</v>
      </c>
      <c r="D6" s="101">
        <v>3.3</v>
      </c>
    </row>
    <row r="7" spans="1:9" x14ac:dyDescent="0.25">
      <c r="A7" s="101" t="s">
        <v>16</v>
      </c>
      <c r="B7" s="101" t="s">
        <v>145</v>
      </c>
      <c r="C7" s="101" t="str">
        <f>IF(Feuil3!$A$1=1,'Rendement-Ausbeute'!A7,'Rendement-Ausbeute'!B7)</f>
        <v>Drusen, Lie</v>
      </c>
      <c r="D7" s="101">
        <v>4.5</v>
      </c>
    </row>
    <row r="8" spans="1:9" x14ac:dyDescent="0.25">
      <c r="A8" s="101" t="s">
        <v>17</v>
      </c>
      <c r="B8" s="101" t="s">
        <v>146</v>
      </c>
      <c r="C8" s="101" t="str">
        <f>IF(Feuil3!$A$1=1,'Rendement-Ausbeute'!A8,'Rendement-Ausbeute'!B8)</f>
        <v>Traubenbrand</v>
      </c>
      <c r="D8" s="101">
        <v>9</v>
      </c>
    </row>
    <row r="9" spans="1:9" x14ac:dyDescent="0.25">
      <c r="A9" s="101" t="s">
        <v>18</v>
      </c>
      <c r="B9" s="101" t="s">
        <v>147</v>
      </c>
      <c r="C9" s="101" t="str">
        <f>IF(Feuil3!$A$1=1,'Rendement-Ausbeute'!A9,'Rendement-Ausbeute'!B9)</f>
        <v>Weinbrand</v>
      </c>
      <c r="D9" s="101">
        <v>10.5</v>
      </c>
    </row>
    <row r="10" spans="1:9" x14ac:dyDescent="0.25">
      <c r="A10" s="101" t="s">
        <v>19</v>
      </c>
      <c r="B10" s="101" t="s">
        <v>148</v>
      </c>
      <c r="C10" s="101" t="str">
        <f>IF(Feuil3!$A$1=1,'Rendement-Ausbeute'!A10,'Rendement-Ausbeute'!B10)</f>
        <v>Traubentrester</v>
      </c>
      <c r="D10" s="101">
        <v>3.6</v>
      </c>
    </row>
    <row r="11" spans="1:9" x14ac:dyDescent="0.25">
      <c r="A11" s="101" t="s">
        <v>20</v>
      </c>
      <c r="B11" s="101" t="s">
        <v>149</v>
      </c>
      <c r="C11" s="101" t="str">
        <f>IF(Feuil3!$A$1=1,'Rendement-Ausbeute'!A11,'Rendement-Ausbeute'!B11)</f>
        <v>Weinreste</v>
      </c>
      <c r="D11" s="101">
        <v>8.9</v>
      </c>
    </row>
    <row r="12" spans="1:9" x14ac:dyDescent="0.25">
      <c r="A12" s="101" t="s">
        <v>21</v>
      </c>
      <c r="B12" s="101" t="s">
        <v>150</v>
      </c>
      <c r="C12" s="101" t="str">
        <f>IF(Feuil3!$A$1=1,'Rendement-Ausbeute'!A12,'Rendement-Ausbeute'!B12)</f>
        <v>Kirsche</v>
      </c>
      <c r="D12" s="101">
        <v>6.1</v>
      </c>
    </row>
    <row r="13" spans="1:9" x14ac:dyDescent="0.25">
      <c r="A13" s="101" t="s">
        <v>22</v>
      </c>
      <c r="B13" s="101" t="s">
        <v>151</v>
      </c>
      <c r="C13" s="101" t="str">
        <f>IF(Feuil3!$A$1=1,'Rendement-Ausbeute'!A13,'Rendement-Ausbeute'!B13)</f>
        <v>Pflaume/Zwetschge</v>
      </c>
      <c r="D13" s="101">
        <v>5.3</v>
      </c>
    </row>
    <row r="14" spans="1:9" x14ac:dyDescent="0.25">
      <c r="A14" s="101" t="s">
        <v>23</v>
      </c>
      <c r="B14" s="101" t="s">
        <v>23</v>
      </c>
      <c r="C14" s="101" t="str">
        <f>IF(Feuil3!$A$1=1,'Rendement-Ausbeute'!A14,'Rendement-Ausbeute'!B14)</f>
        <v>Reine Claude</v>
      </c>
      <c r="D14" s="101">
        <v>5.5</v>
      </c>
    </row>
    <row r="15" spans="1:9" x14ac:dyDescent="0.25">
      <c r="A15" s="101" t="s">
        <v>24</v>
      </c>
      <c r="B15" s="101" t="s">
        <v>24</v>
      </c>
      <c r="C15" s="101" t="str">
        <f>IF(Feuil3!$A$1=1,'Rendement-Ausbeute'!A15,'Rendement-Ausbeute'!B15)</f>
        <v>Mirabelle</v>
      </c>
      <c r="D15" s="101">
        <v>7</v>
      </c>
    </row>
    <row r="16" spans="1:9" x14ac:dyDescent="0.25">
      <c r="A16" s="101" t="s">
        <v>25</v>
      </c>
      <c r="B16" s="101" t="s">
        <v>152</v>
      </c>
      <c r="C16" s="101" t="str">
        <f>IF(Feuil3!$A$1=1,'Rendement-Ausbeute'!A16,'Rendement-Ausbeute'!B16)</f>
        <v>Aprikosen</v>
      </c>
      <c r="D16" s="101">
        <v>3.9</v>
      </c>
    </row>
    <row r="17" spans="1:11" x14ac:dyDescent="0.25">
      <c r="A17" s="101" t="s">
        <v>26</v>
      </c>
      <c r="B17" s="101" t="s">
        <v>153</v>
      </c>
      <c r="C17" s="101" t="str">
        <f>IF(Feuil3!$A$1=1,'Rendement-Ausbeute'!A17,'Rendement-Ausbeute'!B17)</f>
        <v>Pfirsich</v>
      </c>
      <c r="D17" s="101">
        <v>3</v>
      </c>
    </row>
    <row r="18" spans="1:11" x14ac:dyDescent="0.25">
      <c r="A18" s="101" t="s">
        <v>27</v>
      </c>
      <c r="B18" s="101" t="s">
        <v>154</v>
      </c>
      <c r="C18" s="101" t="str">
        <f>IF(Feuil3!$A$1=1,'Rendement-Ausbeute'!A18,'Rendement-Ausbeute'!B18)</f>
        <v>Himbeere</v>
      </c>
      <c r="D18" s="101">
        <v>3</v>
      </c>
    </row>
    <row r="19" spans="1:11" x14ac:dyDescent="0.25">
      <c r="A19" s="101" t="s">
        <v>28</v>
      </c>
      <c r="B19" s="101" t="s">
        <v>155</v>
      </c>
      <c r="C19" s="101" t="str">
        <f>IF(Feuil3!$A$1=1,'Rendement-Ausbeute'!A19,'Rendement-Ausbeute'!B19)</f>
        <v>Brombeeren</v>
      </c>
      <c r="D19" s="101">
        <v>3</v>
      </c>
    </row>
    <row r="20" spans="1:11" x14ac:dyDescent="0.25">
      <c r="A20" s="101" t="s">
        <v>51</v>
      </c>
      <c r="B20" s="101" t="s">
        <v>156</v>
      </c>
      <c r="C20" s="101" t="str">
        <f>IF(Feuil3!$A$1=1,'Rendement-Ausbeute'!A20,'Rendement-Ausbeute'!B20)</f>
        <v>Enzian</v>
      </c>
      <c r="D20" s="101">
        <v>2.6</v>
      </c>
    </row>
    <row r="21" spans="1:11" x14ac:dyDescent="0.25">
      <c r="A21" s="101" t="s">
        <v>63</v>
      </c>
      <c r="B21" s="101" t="s">
        <v>157</v>
      </c>
      <c r="C21" s="101" t="str">
        <f>IF(Feuil3!$A$1=1,'Rendement-Ausbeute'!A21,'Rendement-Ausbeute'!B21)</f>
        <v>Schlehe</v>
      </c>
      <c r="D21" s="101">
        <v>4.2</v>
      </c>
    </row>
    <row r="22" spans="1:11" ht="21" x14ac:dyDescent="0.35">
      <c r="A22" s="101" t="s">
        <v>165</v>
      </c>
      <c r="B22" s="101" t="s">
        <v>164</v>
      </c>
      <c r="C22" s="101" t="str">
        <f>IF(Feuil3!$A$1=1,'Rendement-Ausbeute'!A22,'Rendement-Ausbeute'!B22)</f>
        <v>Andere Ausbeute vgl Feuil2</v>
      </c>
      <c r="D22" s="102">
        <v>8</v>
      </c>
      <c r="K22" t="s">
        <v>166</v>
      </c>
    </row>
  </sheetData>
  <sheetProtection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0"/>
  <sheetViews>
    <sheetView zoomScale="85" zoomScaleNormal="85" workbookViewId="0"/>
  </sheetViews>
  <sheetFormatPr baseColWidth="10" defaultRowHeight="15" x14ac:dyDescent="0.25"/>
  <cols>
    <col min="1" max="1" width="80" customWidth="1"/>
    <col min="2" max="3" width="88.140625" style="8" bestFit="1" customWidth="1"/>
  </cols>
  <sheetData>
    <row r="1" spans="1:12" x14ac:dyDescent="0.25">
      <c r="A1">
        <v>2</v>
      </c>
    </row>
    <row r="2" spans="1:12" ht="23.25" x14ac:dyDescent="0.35">
      <c r="A2" s="4" t="s">
        <v>159</v>
      </c>
      <c r="B2" s="4" t="s">
        <v>91</v>
      </c>
      <c r="C2" s="4" t="str">
        <f>IF($A$1=1,A2,B2)</f>
        <v>Kostenberechnung für Destillate</v>
      </c>
    </row>
    <row r="3" spans="1:12" ht="18" x14ac:dyDescent="0.25">
      <c r="A3" s="7" t="s">
        <v>160</v>
      </c>
      <c r="B3" s="7" t="s">
        <v>92</v>
      </c>
      <c r="C3" s="7" t="str">
        <f t="shared" ref="C3:C60" si="0">IF($A$1=1,A3,B3)</f>
        <v>aus der Sicht als "Kleinproduzent" als Kunde beim Lohnbrenner</v>
      </c>
    </row>
    <row r="4" spans="1:12" x14ac:dyDescent="0.25">
      <c r="A4" s="8"/>
    </row>
    <row r="5" spans="1:12" ht="15.75" thickBot="1" x14ac:dyDescent="0.3">
      <c r="A5" s="12" t="s">
        <v>161</v>
      </c>
      <c r="B5" s="12" t="s">
        <v>93</v>
      </c>
      <c r="C5" s="12" t="str">
        <f t="shared" si="0"/>
        <v>Obstart</v>
      </c>
    </row>
    <row r="6" spans="1:12" ht="15.75" thickBot="1" x14ac:dyDescent="0.3">
      <c r="A6" s="15" t="s">
        <v>14</v>
      </c>
      <c r="B6" s="15" t="s">
        <v>94</v>
      </c>
      <c r="C6" s="15" t="str">
        <f t="shared" si="0"/>
        <v>theoretische Ausbeute</v>
      </c>
      <c r="D6" s="23" t="s">
        <v>0</v>
      </c>
      <c r="E6" s="23" t="s">
        <v>29</v>
      </c>
      <c r="F6" s="24" t="s">
        <v>37</v>
      </c>
      <c r="G6" s="23" t="s">
        <v>1</v>
      </c>
      <c r="H6" s="23" t="s">
        <v>2</v>
      </c>
      <c r="I6" s="23" t="s">
        <v>3</v>
      </c>
      <c r="J6" s="23" t="s">
        <v>62</v>
      </c>
      <c r="K6" s="25" t="s">
        <v>4</v>
      </c>
    </row>
    <row r="7" spans="1:12" ht="45.75" thickBot="1" x14ac:dyDescent="0.3">
      <c r="A7" s="12" t="s">
        <v>13</v>
      </c>
      <c r="B7" s="12" t="s">
        <v>95</v>
      </c>
      <c r="C7" s="12" t="str">
        <f t="shared" si="0"/>
        <v>Menge</v>
      </c>
      <c r="D7" s="23" t="s">
        <v>95</v>
      </c>
      <c r="E7" s="23" t="s">
        <v>133</v>
      </c>
      <c r="F7" s="24" t="s">
        <v>134</v>
      </c>
      <c r="G7" s="23" t="s">
        <v>135</v>
      </c>
      <c r="H7" s="23" t="s">
        <v>2</v>
      </c>
      <c r="I7" s="23" t="s">
        <v>136</v>
      </c>
      <c r="J7" s="23" t="s">
        <v>62</v>
      </c>
      <c r="K7" s="25" t="s">
        <v>4</v>
      </c>
    </row>
    <row r="8" spans="1:12" x14ac:dyDescent="0.25">
      <c r="A8" s="12" t="s">
        <v>36</v>
      </c>
      <c r="B8" s="12" t="s">
        <v>96</v>
      </c>
      <c r="C8" s="12" t="str">
        <f t="shared" si="0"/>
        <v>Preis für Verarbeitungsrohstoffe/kg</v>
      </c>
      <c r="D8" t="str">
        <f>IF($A1=1,D6,D7)</f>
        <v>Menge</v>
      </c>
      <c r="E8" t="str">
        <f t="shared" ref="E8:K8" si="1">IF($A1=1,E6,E7)</f>
        <v>Einheit</v>
      </c>
      <c r="F8" t="str">
        <f t="shared" si="1"/>
        <v>Preis/Einheit</v>
      </c>
      <c r="G8" t="str">
        <f t="shared" si="1"/>
        <v>Betrag</v>
      </c>
      <c r="H8" t="str">
        <f t="shared" si="1"/>
        <v>Total</v>
      </c>
      <c r="I8" t="str">
        <f t="shared" si="1"/>
        <v>pro 100kg</v>
      </c>
      <c r="J8" t="str">
        <f t="shared" si="1"/>
        <v>1 lt à %vol</v>
      </c>
      <c r="K8" t="str">
        <f t="shared" si="1"/>
        <v>%</v>
      </c>
    </row>
    <row r="9" spans="1:12" x14ac:dyDescent="0.25">
      <c r="A9" s="12" t="s">
        <v>35</v>
      </c>
      <c r="B9" s="12" t="s">
        <v>97</v>
      </c>
      <c r="C9" s="12" t="str">
        <f t="shared" si="0"/>
        <v>%vol trinkfertiges Destillat</v>
      </c>
    </row>
    <row r="10" spans="1:12" x14ac:dyDescent="0.25">
      <c r="A10" s="12" t="s">
        <v>46</v>
      </c>
      <c r="B10" s="12" t="s">
        <v>98</v>
      </c>
      <c r="C10" s="12" t="str">
        <f t="shared" si="0"/>
        <v>Flaschen-Grösse</v>
      </c>
    </row>
    <row r="11" spans="1:12" x14ac:dyDescent="0.25">
      <c r="A11" s="12" t="s">
        <v>48</v>
      </c>
      <c r="B11" s="12" t="s">
        <v>99</v>
      </c>
      <c r="C11" s="12" t="str">
        <f t="shared" si="0"/>
        <v>Lohnansatz/Akh</v>
      </c>
    </row>
    <row r="12" spans="1:12" x14ac:dyDescent="0.25">
      <c r="A12" s="12" t="s">
        <v>53</v>
      </c>
      <c r="B12" s="12" t="s">
        <v>100</v>
      </c>
      <c r="C12" s="12" t="str">
        <f t="shared" si="0"/>
        <v>Brenn-Lohn</v>
      </c>
    </row>
    <row r="13" spans="1:12" x14ac:dyDescent="0.25">
      <c r="A13" s="12" t="s">
        <v>54</v>
      </c>
      <c r="B13" s="12" t="s">
        <v>101</v>
      </c>
      <c r="C13" s="12" t="str">
        <f t="shared" si="0"/>
        <v>Wegstrecke Betrieb-Brennerei</v>
      </c>
    </row>
    <row r="14" spans="1:12" ht="47.25" x14ac:dyDescent="0.25">
      <c r="A14" s="16" t="s">
        <v>171</v>
      </c>
      <c r="B14" s="16" t="s">
        <v>102</v>
      </c>
      <c r="C14" s="16" t="str">
        <f t="shared" si="0"/>
        <v>geschätzter Zeitaufwand für Verkauf 1 Flasche</v>
      </c>
      <c r="H14" s="9" t="s">
        <v>61</v>
      </c>
      <c r="J14" s="9" t="s">
        <v>86</v>
      </c>
      <c r="L14" t="s">
        <v>175</v>
      </c>
    </row>
    <row r="15" spans="1:12" ht="15.75" x14ac:dyDescent="0.25">
      <c r="A15" s="16" t="s">
        <v>5</v>
      </c>
      <c r="B15" s="16" t="s">
        <v>162</v>
      </c>
      <c r="C15" s="16" t="str">
        <f t="shared" si="0"/>
        <v>MWST</v>
      </c>
      <c r="H15" s="9"/>
      <c r="J15" s="9"/>
    </row>
    <row r="16" spans="1:12" ht="31.5" x14ac:dyDescent="0.25">
      <c r="A16" s="42" t="s">
        <v>74</v>
      </c>
      <c r="B16" s="42" t="s">
        <v>122</v>
      </c>
      <c r="C16" s="42" t="str">
        <f t="shared" si="0"/>
        <v>Steuer-Rabatt für Kleinprodzenten 30% auf max. 30l RA</v>
      </c>
      <c r="H16" s="74" t="s">
        <v>138</v>
      </c>
      <c r="J16" s="74" t="s">
        <v>139</v>
      </c>
    </row>
    <row r="17" spans="1:10" ht="15.75" thickBot="1" x14ac:dyDescent="0.3">
      <c r="A17" s="17"/>
      <c r="B17" s="17"/>
      <c r="C17" s="17"/>
      <c r="H17" t="str">
        <f>IF($A1=1,H14,H16)</f>
        <v>Variable Grössen</v>
      </c>
      <c r="J17" t="str">
        <f t="shared" ref="J17" si="2">IF($A1=1,J14,J16)</f>
        <v>Material Preise</v>
      </c>
    </row>
    <row r="18" spans="1:10" ht="15.75" thickBot="1" x14ac:dyDescent="0.3">
      <c r="A18" s="22"/>
      <c r="B18" s="22"/>
      <c r="C18" s="22"/>
    </row>
    <row r="19" spans="1:10" x14ac:dyDescent="0.25">
      <c r="A19" s="27" t="s">
        <v>56</v>
      </c>
      <c r="B19" s="27" t="s">
        <v>103</v>
      </c>
      <c r="C19" s="27" t="str">
        <f t="shared" si="0"/>
        <v>Verarbeitungs-Rohstoff</v>
      </c>
    </row>
    <row r="20" spans="1:10" x14ac:dyDescent="0.25">
      <c r="A20" s="35"/>
      <c r="B20" s="35"/>
      <c r="C20" s="35"/>
    </row>
    <row r="21" spans="1:10" x14ac:dyDescent="0.25">
      <c r="A21" s="41" t="s">
        <v>15</v>
      </c>
      <c r="B21" s="41" t="s">
        <v>104</v>
      </c>
      <c r="C21" s="41" t="str">
        <f t="shared" si="0"/>
        <v>Gärbehälter</v>
      </c>
    </row>
    <row r="22" spans="1:10" x14ac:dyDescent="0.25">
      <c r="A22" s="42" t="s">
        <v>47</v>
      </c>
      <c r="B22" s="42" t="s">
        <v>105</v>
      </c>
      <c r="C22" s="42" t="str">
        <f t="shared" si="0"/>
        <v>Kunststoff-Fass 120l (Abschreibung auf 15 Jahre)</v>
      </c>
    </row>
    <row r="23" spans="1:10" x14ac:dyDescent="0.25">
      <c r="A23" s="42" t="s">
        <v>39</v>
      </c>
      <c r="B23" s="42" t="s">
        <v>106</v>
      </c>
      <c r="C23" s="42" t="str">
        <f t="shared" si="0"/>
        <v>Gärfilter (Abschreibung auf 15 Jahre)</v>
      </c>
    </row>
    <row r="24" spans="1:10" x14ac:dyDescent="0.25">
      <c r="A24" s="42" t="s">
        <v>40</v>
      </c>
      <c r="B24" s="42" t="s">
        <v>107</v>
      </c>
      <c r="C24" s="42" t="str">
        <f t="shared" si="0"/>
        <v>Gebäudekosten für Einlagerung</v>
      </c>
    </row>
    <row r="25" spans="1:10" x14ac:dyDescent="0.25">
      <c r="A25" s="35"/>
      <c r="B25" s="35"/>
      <c r="C25" s="35"/>
    </row>
    <row r="26" spans="1:10" x14ac:dyDescent="0.25">
      <c r="A26" s="41" t="s">
        <v>57</v>
      </c>
      <c r="B26" s="41" t="s">
        <v>108</v>
      </c>
      <c r="C26" s="41" t="str">
        <f t="shared" si="0"/>
        <v>Einmaischen</v>
      </c>
    </row>
    <row r="27" spans="1:10" x14ac:dyDescent="0.25">
      <c r="A27" s="42" t="s">
        <v>67</v>
      </c>
      <c r="B27" s="42" t="s">
        <v>109</v>
      </c>
      <c r="C27" s="42" t="str">
        <f t="shared" si="0"/>
        <v>Häckseln</v>
      </c>
    </row>
    <row r="28" spans="1:10" x14ac:dyDescent="0.25">
      <c r="A28" s="42" t="s">
        <v>68</v>
      </c>
      <c r="B28" s="42" t="s">
        <v>110</v>
      </c>
      <c r="C28" s="42" t="str">
        <f t="shared" si="0"/>
        <v>Enzyme</v>
      </c>
    </row>
    <row r="29" spans="1:10" x14ac:dyDescent="0.25">
      <c r="A29" s="42" t="s">
        <v>69</v>
      </c>
      <c r="B29" s="42" t="s">
        <v>111</v>
      </c>
      <c r="C29" s="42" t="str">
        <f t="shared" si="0"/>
        <v>Milch-/Phosphorsäure</v>
      </c>
    </row>
    <row r="30" spans="1:10" x14ac:dyDescent="0.25">
      <c r="A30" s="42" t="s">
        <v>70</v>
      </c>
      <c r="B30" s="42" t="s">
        <v>112</v>
      </c>
      <c r="C30" s="42" t="str">
        <f t="shared" si="0"/>
        <v>Hefen</v>
      </c>
    </row>
    <row r="31" spans="1:10" x14ac:dyDescent="0.25">
      <c r="A31" s="42" t="s">
        <v>71</v>
      </c>
      <c r="B31" s="42" t="s">
        <v>113</v>
      </c>
      <c r="C31" s="42" t="str">
        <f t="shared" si="0"/>
        <v>Analytik</v>
      </c>
    </row>
    <row r="32" spans="1:10" x14ac:dyDescent="0.25">
      <c r="A32" s="42" t="s">
        <v>80</v>
      </c>
      <c r="B32" s="42" t="s">
        <v>114</v>
      </c>
      <c r="C32" s="42" t="str">
        <f t="shared" si="0"/>
        <v>Arbeitsleistung Einmaischen, Gärführung (1.2h /100kg)</v>
      </c>
    </row>
    <row r="33" spans="1:3" x14ac:dyDescent="0.25">
      <c r="A33" s="35"/>
      <c r="B33" s="35"/>
      <c r="C33" s="35"/>
    </row>
    <row r="34" spans="1:3" x14ac:dyDescent="0.25">
      <c r="A34" s="41" t="s">
        <v>65</v>
      </c>
      <c r="B34" s="41" t="s">
        <v>65</v>
      </c>
      <c r="C34" s="41" t="str">
        <f t="shared" si="0"/>
        <v>Transport</v>
      </c>
    </row>
    <row r="35" spans="1:3" x14ac:dyDescent="0.25">
      <c r="A35" s="42" t="s">
        <v>73</v>
      </c>
      <c r="B35" s="42" t="s">
        <v>115</v>
      </c>
      <c r="C35" s="42" t="str">
        <f t="shared" si="0"/>
        <v>km-Entschädigung</v>
      </c>
    </row>
    <row r="36" spans="1:3" x14ac:dyDescent="0.25">
      <c r="A36" s="42" t="s">
        <v>72</v>
      </c>
      <c r="B36" s="42" t="s">
        <v>116</v>
      </c>
      <c r="C36" s="42" t="str">
        <f t="shared" si="0"/>
        <v>Arbeitsleistung</v>
      </c>
    </row>
    <row r="37" spans="1:3" x14ac:dyDescent="0.25">
      <c r="A37" s="35"/>
      <c r="B37" s="35"/>
      <c r="C37" s="35"/>
    </row>
    <row r="38" spans="1:3" x14ac:dyDescent="0.25">
      <c r="A38" s="41" t="s">
        <v>58</v>
      </c>
      <c r="B38" s="41" t="s">
        <v>117</v>
      </c>
      <c r="C38" s="41" t="str">
        <f t="shared" si="0"/>
        <v>Brennlohn</v>
      </c>
    </row>
    <row r="39" spans="1:3" x14ac:dyDescent="0.25">
      <c r="A39" s="42" t="s">
        <v>52</v>
      </c>
      <c r="B39" s="42" t="s">
        <v>118</v>
      </c>
      <c r="C39" s="42" t="str">
        <f t="shared" si="0"/>
        <v>für Lohn-Destillation</v>
      </c>
    </row>
    <row r="40" spans="1:3" x14ac:dyDescent="0.25">
      <c r="A40" s="42" t="s">
        <v>5</v>
      </c>
      <c r="B40" s="42" t="s">
        <v>119</v>
      </c>
      <c r="C40" s="42" t="str">
        <f t="shared" si="0"/>
        <v>MwSt</v>
      </c>
    </row>
    <row r="41" spans="1:3" x14ac:dyDescent="0.25">
      <c r="A41" s="35"/>
      <c r="B41" s="35"/>
      <c r="C41" s="35"/>
    </row>
    <row r="42" spans="1:3" x14ac:dyDescent="0.25">
      <c r="A42" s="41" t="s">
        <v>59</v>
      </c>
      <c r="B42" s="41" t="s">
        <v>120</v>
      </c>
      <c r="C42" s="41" t="str">
        <f t="shared" si="0"/>
        <v>Steuern</v>
      </c>
    </row>
    <row r="43" spans="1:3" x14ac:dyDescent="0.25">
      <c r="A43" s="42" t="s">
        <v>81</v>
      </c>
      <c r="B43" s="42" t="s">
        <v>121</v>
      </c>
      <c r="C43" s="42" t="str">
        <f t="shared" si="0"/>
        <v>Rein-Alkohol RA 100%vol</v>
      </c>
    </row>
    <row r="44" spans="1:3" x14ac:dyDescent="0.25">
      <c r="A44" s="42" t="s">
        <v>74</v>
      </c>
      <c r="B44" s="42" t="s">
        <v>122</v>
      </c>
      <c r="C44" s="42" t="str">
        <f t="shared" si="0"/>
        <v>Steuer-Rabatt für Kleinprodzenten 30% auf max. 30l RA</v>
      </c>
    </row>
    <row r="45" spans="1:3" x14ac:dyDescent="0.25">
      <c r="A45" s="42"/>
      <c r="B45" s="42"/>
      <c r="C45" s="42"/>
    </row>
    <row r="46" spans="1:3" x14ac:dyDescent="0.25">
      <c r="A46" s="41" t="s">
        <v>60</v>
      </c>
      <c r="B46" s="41" t="s">
        <v>123</v>
      </c>
      <c r="C46" s="41" t="str">
        <f t="shared" si="0"/>
        <v>Abfüllung</v>
      </c>
    </row>
    <row r="47" spans="1:3" x14ac:dyDescent="0.25">
      <c r="A47" s="42" t="s">
        <v>88</v>
      </c>
      <c r="B47" s="42" t="s">
        <v>124</v>
      </c>
      <c r="C47" s="42" t="str">
        <f t="shared" si="0"/>
        <v>Flasche</v>
      </c>
    </row>
    <row r="48" spans="1:3" x14ac:dyDescent="0.25">
      <c r="A48" s="42" t="s">
        <v>75</v>
      </c>
      <c r="B48" s="42" t="s">
        <v>125</v>
      </c>
      <c r="C48" s="42" t="str">
        <f t="shared" si="0"/>
        <v>Stopfen mit Schrumpfkapsel</v>
      </c>
    </row>
    <row r="49" spans="1:3" x14ac:dyDescent="0.25">
      <c r="A49" s="42" t="s">
        <v>76</v>
      </c>
      <c r="B49" s="42" t="s">
        <v>126</v>
      </c>
      <c r="C49" s="42" t="str">
        <f t="shared" si="0"/>
        <v>Etiketten</v>
      </c>
    </row>
    <row r="50" spans="1:3" x14ac:dyDescent="0.25">
      <c r="A50" s="42" t="s">
        <v>77</v>
      </c>
      <c r="B50" s="42" t="s">
        <v>127</v>
      </c>
      <c r="C50" s="42" t="str">
        <f t="shared" si="0"/>
        <v>Abfüllgerät mit Kerzenfilter (Abschreibung 5 Jahre / Jahresproduktion 200l/Jahr)</v>
      </c>
    </row>
    <row r="51" spans="1:3" x14ac:dyDescent="0.25">
      <c r="A51" s="42" t="s">
        <v>78</v>
      </c>
      <c r="B51" s="42" t="s">
        <v>128</v>
      </c>
      <c r="C51" s="42" t="str">
        <f t="shared" si="0"/>
        <v>Arbeitsleitung (25 Flaschen/h)</v>
      </c>
    </row>
    <row r="52" spans="1:3" x14ac:dyDescent="0.25">
      <c r="A52" s="42"/>
      <c r="B52" s="42"/>
      <c r="C52" s="42"/>
    </row>
    <row r="53" spans="1:3" x14ac:dyDescent="0.25">
      <c r="A53" s="42" t="s">
        <v>82</v>
      </c>
      <c r="B53" s="41" t="s">
        <v>129</v>
      </c>
      <c r="C53" s="41" t="str">
        <f t="shared" si="0"/>
        <v>Verkauf</v>
      </c>
    </row>
    <row r="54" spans="1:3" x14ac:dyDescent="0.25">
      <c r="A54" s="42" t="s">
        <v>87</v>
      </c>
      <c r="B54" s="42" t="s">
        <v>163</v>
      </c>
      <c r="C54" s="42" t="str">
        <f t="shared" si="0"/>
        <v>Verpackung (Beutel, Karton, Holzkisten)</v>
      </c>
    </row>
    <row r="55" spans="1:3" x14ac:dyDescent="0.25">
      <c r="A55" s="42" t="s">
        <v>84</v>
      </c>
      <c r="B55" s="42" t="s">
        <v>130</v>
      </c>
      <c r="C55" s="42" t="str">
        <f t="shared" si="0"/>
        <v>Verkaufs-Infrastruktur</v>
      </c>
    </row>
    <row r="56" spans="1:3" x14ac:dyDescent="0.25">
      <c r="A56" s="42" t="s">
        <v>83</v>
      </c>
      <c r="B56" s="42" t="s">
        <v>131</v>
      </c>
      <c r="C56" s="42" t="str">
        <f t="shared" si="0"/>
        <v>Arbeitsleistung für Verkauf</v>
      </c>
    </row>
    <row r="57" spans="1:3" x14ac:dyDescent="0.25">
      <c r="A57" s="42"/>
      <c r="B57" s="42"/>
      <c r="C57" s="42"/>
    </row>
    <row r="58" spans="1:3" x14ac:dyDescent="0.25">
      <c r="A58" s="35"/>
      <c r="B58" s="35"/>
      <c r="C58" s="35"/>
    </row>
    <row r="59" spans="1:3" x14ac:dyDescent="0.25">
      <c r="A59" s="41" t="s">
        <v>6</v>
      </c>
      <c r="B59" s="41" t="s">
        <v>6</v>
      </c>
      <c r="C59" s="41" t="str">
        <f t="shared" si="0"/>
        <v>TOTAL</v>
      </c>
    </row>
    <row r="60" spans="1:3" x14ac:dyDescent="0.25">
      <c r="A60" s="35" t="s">
        <v>79</v>
      </c>
      <c r="B60" s="35" t="s">
        <v>132</v>
      </c>
      <c r="C60" s="35" t="str">
        <f t="shared" si="0"/>
        <v>Stunden</v>
      </c>
    </row>
    <row r="64" spans="1:3" x14ac:dyDescent="0.25">
      <c r="B64" s="19"/>
      <c r="C64" s="19"/>
    </row>
    <row r="67" spans="2:3" ht="44.25" x14ac:dyDescent="0.55000000000000004">
      <c r="B67" s="67"/>
      <c r="C67" s="67"/>
    </row>
    <row r="70" spans="2:3" x14ac:dyDescent="0.25">
      <c r="B70" s="68"/>
      <c r="C70" s="6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vt:i4>
      </vt:variant>
    </vt:vector>
  </HeadingPairs>
  <TitlesOfParts>
    <vt:vector size="5" baseType="lpstr">
      <vt:lpstr>Informations</vt:lpstr>
      <vt:lpstr>Outil de calcul</vt:lpstr>
      <vt:lpstr>Rendement-Ausbeute</vt:lpstr>
      <vt:lpstr>Feuil3</vt:lpstr>
      <vt:lpstr>'Outil de calcul'!Druckbereich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Egger Victor</dc:creator>
  <cp:lastModifiedBy>Guggisberg Barbara, WEU-LANAT-INF-RU</cp:lastModifiedBy>
  <cp:lastPrinted>2019-08-09T09:02:59Z</cp:lastPrinted>
  <dcterms:created xsi:type="dcterms:W3CDTF">2016-10-28T12:44:57Z</dcterms:created>
  <dcterms:modified xsi:type="dcterms:W3CDTF">2023-12-12T10:30:51Z</dcterms:modified>
</cp:coreProperties>
</file>